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worksheets/sheet171.xml" ContentType="application/vnd.openxmlformats-officedocument.spreadsheetml.worksheet+xml"/>
  <Override PartName="/xl/worksheets/sheet172.xml" ContentType="application/vnd.openxmlformats-officedocument.spreadsheetml.worksheet+xml"/>
  <Override PartName="/xl/worksheets/sheet173.xml" ContentType="application/vnd.openxmlformats-officedocument.spreadsheetml.worksheet+xml"/>
  <Override PartName="/xl/worksheets/sheet174.xml" ContentType="application/vnd.openxmlformats-officedocument.spreadsheetml.worksheet+xml"/>
  <Override PartName="/xl/worksheets/sheet17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drawings/drawing164.xml" ContentType="application/vnd.openxmlformats-officedocument.drawing+xml"/>
  <Override PartName="/xl/drawings/drawing165.xml" ContentType="application/vnd.openxmlformats-officedocument.drawing+xml"/>
  <Override PartName="/xl/drawings/drawing166.xml" ContentType="application/vnd.openxmlformats-officedocument.drawing+xml"/>
  <Override PartName="/xl/drawings/drawing167.xml" ContentType="application/vnd.openxmlformats-officedocument.drawing+xml"/>
  <Override PartName="/xl/drawings/drawing168.xml" ContentType="application/vnd.openxmlformats-officedocument.drawing+xml"/>
  <Override PartName="/xl/drawings/drawing169.xml" ContentType="application/vnd.openxmlformats-officedocument.drawing+xml"/>
  <Override PartName="/xl/drawings/drawing170.xml" ContentType="application/vnd.openxmlformats-officedocument.drawing+xml"/>
  <Override PartName="/xl/drawings/drawing171.xml" ContentType="application/vnd.openxmlformats-officedocument.drawing+xml"/>
  <Override PartName="/xl/drawings/drawing172.xml" ContentType="application/vnd.openxmlformats-officedocument.drawing+xml"/>
  <Override PartName="/xl/drawings/drawing173.xml" ContentType="application/vnd.openxmlformats-officedocument.drawing+xml"/>
  <Override PartName="/xl/drawings/drawing174.xml" ContentType="application/vnd.openxmlformats-officedocument.drawing+xml"/>
  <Override PartName="/xl/drawings/drawing17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User\Documents\NBI\RS,PO,Deposit,2307\Requisition Slip\Contruction-Accounting\COTABATO\2024 CBT REQUESTS\"/>
    </mc:Choice>
  </mc:AlternateContent>
  <xr:revisionPtr revIDLastSave="0" documentId="13_ncr:1_{6EB38648-6A0C-4A14-B52A-AE96B26DD2C3}" xr6:coauthVersionLast="47" xr6:coauthVersionMax="47" xr10:uidLastSave="{00000000-0000-0000-0000-000000000000}"/>
  <bookViews>
    <workbookView xWindow="3465" yWindow="0" windowWidth="15120" windowHeight="15585" tabRatio="919" xr2:uid="{9E2829E7-2996-467F-8259-ADA421337E88}"/>
  </bookViews>
  <sheets>
    <sheet name="217" sheetId="193" r:id="rId1"/>
    <sheet name="216" sheetId="192" r:id="rId2"/>
    <sheet name="215" sheetId="191" r:id="rId3"/>
    <sheet name="214" sheetId="190" r:id="rId4"/>
    <sheet name="213" sheetId="189" r:id="rId5"/>
    <sheet name="212" sheetId="188" r:id="rId6"/>
    <sheet name="211" sheetId="187" r:id="rId7"/>
    <sheet name="210" sheetId="186" r:id="rId8"/>
    <sheet name="209" sheetId="182" r:id="rId9"/>
    <sheet name="208" sheetId="183" r:id="rId10"/>
    <sheet name="207" sheetId="181" r:id="rId11"/>
    <sheet name="206" sheetId="180" r:id="rId12"/>
    <sheet name="205" sheetId="179" r:id="rId13"/>
    <sheet name="204" sheetId="178" r:id="rId14"/>
    <sheet name="203" sheetId="177" r:id="rId15"/>
    <sheet name="202" sheetId="176" r:id="rId16"/>
    <sheet name="201" sheetId="175" r:id="rId17"/>
    <sheet name="200" sheetId="174" r:id="rId18"/>
    <sheet name="199" sheetId="173" r:id="rId19"/>
    <sheet name="198" sheetId="171" r:id="rId20"/>
    <sheet name="197" sheetId="172" r:id="rId21"/>
    <sheet name="196" sheetId="170" r:id="rId22"/>
    <sheet name="195" sheetId="169" r:id="rId23"/>
    <sheet name="194" sheetId="168" r:id="rId24"/>
    <sheet name="193" sheetId="167" r:id="rId25"/>
    <sheet name="192" sheetId="166" r:id="rId26"/>
    <sheet name="191" sheetId="165" r:id="rId27"/>
    <sheet name="190" sheetId="164" r:id="rId28"/>
    <sheet name="189" sheetId="163" r:id="rId29"/>
    <sheet name="188" sheetId="162" r:id="rId30"/>
    <sheet name="187" sheetId="160" r:id="rId31"/>
    <sheet name="186" sheetId="159" r:id="rId32"/>
    <sheet name="185" sheetId="158" r:id="rId33"/>
    <sheet name="184" sheetId="157" r:id="rId34"/>
    <sheet name="183" sheetId="156" r:id="rId35"/>
    <sheet name="182" sheetId="155" r:id="rId36"/>
    <sheet name="181" sheetId="152" r:id="rId37"/>
    <sheet name="180" sheetId="151" r:id="rId38"/>
    <sheet name="179" sheetId="150" r:id="rId39"/>
    <sheet name="178" sheetId="149" r:id="rId40"/>
    <sheet name="177" sheetId="148" r:id="rId41"/>
    <sheet name="176" sheetId="145" r:id="rId42"/>
    <sheet name="175" sheetId="144" r:id="rId43"/>
    <sheet name="174" sheetId="143" r:id="rId44"/>
    <sheet name="173" sheetId="146" r:id="rId45"/>
    <sheet name="172" sheetId="141" r:id="rId46"/>
    <sheet name="171" sheetId="140" r:id="rId47"/>
    <sheet name="170" sheetId="139" r:id="rId48"/>
    <sheet name="169" sheetId="138" r:id="rId49"/>
    <sheet name="168" sheetId="131" r:id="rId50"/>
    <sheet name="167" sheetId="132" r:id="rId51"/>
    <sheet name="166" sheetId="133" r:id="rId52"/>
    <sheet name="165" sheetId="154" r:id="rId53"/>
    <sheet name="164" sheetId="130" r:id="rId54"/>
    <sheet name="163" sheetId="127" r:id="rId55"/>
    <sheet name="162" sheetId="125" r:id="rId56"/>
    <sheet name="161" sheetId="126" r:id="rId57"/>
    <sheet name="160" sheetId="124" r:id="rId58"/>
    <sheet name="159" sheetId="123" r:id="rId59"/>
    <sheet name="158" sheetId="121" r:id="rId60"/>
    <sheet name="157" sheetId="120" r:id="rId61"/>
    <sheet name="156" sheetId="119" r:id="rId62"/>
    <sheet name="155" sheetId="118" r:id="rId63"/>
    <sheet name="154" sheetId="117" r:id="rId64"/>
    <sheet name="153" sheetId="116" r:id="rId65"/>
    <sheet name="152" sheetId="115" r:id="rId66"/>
    <sheet name="151" sheetId="114" r:id="rId67"/>
    <sheet name="150" sheetId="113" r:id="rId68"/>
    <sheet name="149" sheetId="112" r:id="rId69"/>
    <sheet name="148" sheetId="110" r:id="rId70"/>
    <sheet name="147" sheetId="111" r:id="rId71"/>
    <sheet name="146" sheetId="109" r:id="rId72"/>
    <sheet name="145" sheetId="108" r:id="rId73"/>
    <sheet name="144" sheetId="107" r:id="rId74"/>
    <sheet name="143" sheetId="106" r:id="rId75"/>
    <sheet name="142" sheetId="105" r:id="rId76"/>
    <sheet name="141" sheetId="104" r:id="rId77"/>
    <sheet name="140" sheetId="103" r:id="rId78"/>
    <sheet name="139" sheetId="102" r:id="rId79"/>
    <sheet name="138" sheetId="100" r:id="rId80"/>
    <sheet name="137" sheetId="99" r:id="rId81"/>
    <sheet name="136" sheetId="98" r:id="rId82"/>
    <sheet name="135" sheetId="97" r:id="rId83"/>
    <sheet name="134" sheetId="96" r:id="rId84"/>
    <sheet name="133" sheetId="95" r:id="rId85"/>
    <sheet name="132" sheetId="94" r:id="rId86"/>
    <sheet name="131" sheetId="93" r:id="rId87"/>
    <sheet name="130" sheetId="92" r:id="rId88"/>
    <sheet name="129" sheetId="91" r:id="rId89"/>
    <sheet name="128" sheetId="90" r:id="rId90"/>
    <sheet name="127" sheetId="89" r:id="rId91"/>
    <sheet name="126" sheetId="88" r:id="rId92"/>
    <sheet name="125" sheetId="87" r:id="rId93"/>
    <sheet name="124" sheetId="86" r:id="rId94"/>
    <sheet name="123" sheetId="85" r:id="rId95"/>
    <sheet name="122" sheetId="84" r:id="rId96"/>
    <sheet name="121" sheetId="83" r:id="rId97"/>
    <sheet name="120" sheetId="82" r:id="rId98"/>
    <sheet name="119" sheetId="77" r:id="rId99"/>
    <sheet name="118" sheetId="78" r:id="rId100"/>
    <sheet name="117" sheetId="79" r:id="rId101"/>
    <sheet name="116" sheetId="80" r:id="rId102"/>
    <sheet name="115" sheetId="81" r:id="rId103"/>
    <sheet name="114" sheetId="76" r:id="rId104"/>
    <sheet name="113" sheetId="75" r:id="rId105"/>
    <sheet name="112" sheetId="74" r:id="rId106"/>
    <sheet name="111" sheetId="72" r:id="rId107"/>
    <sheet name="110" sheetId="71" r:id="rId108"/>
    <sheet name="106" sheetId="73" r:id="rId109"/>
    <sheet name="100" sheetId="70" r:id="rId110"/>
    <sheet name="090" sheetId="69" r:id="rId111"/>
    <sheet name="089" sheetId="68" r:id="rId112"/>
    <sheet name="088" sheetId="67" r:id="rId113"/>
    <sheet name="087" sheetId="66" r:id="rId114"/>
    <sheet name="086" sheetId="64" r:id="rId115"/>
    <sheet name="085" sheetId="65" r:id="rId116"/>
    <sheet name="084" sheetId="63" r:id="rId117"/>
    <sheet name="083" sheetId="62" r:id="rId118"/>
    <sheet name="076" sheetId="60" r:id="rId119"/>
    <sheet name="075" sheetId="57" r:id="rId120"/>
    <sheet name="074" sheetId="58" r:id="rId121"/>
    <sheet name="073" sheetId="61" r:id="rId122"/>
    <sheet name="070" sheetId="56" r:id="rId123"/>
    <sheet name="069" sheetId="55" r:id="rId124"/>
    <sheet name="059" sheetId="54" r:id="rId125"/>
    <sheet name="057" sheetId="53" r:id="rId126"/>
    <sheet name="056" sheetId="52" r:id="rId127"/>
    <sheet name="048" sheetId="51" r:id="rId128"/>
    <sheet name="047" sheetId="50" r:id="rId129"/>
    <sheet name="046" sheetId="49" r:id="rId130"/>
    <sheet name="045" sheetId="48" r:id="rId131"/>
    <sheet name="044" sheetId="47" r:id="rId132"/>
    <sheet name="043" sheetId="46" r:id="rId133"/>
    <sheet name="042" sheetId="45" r:id="rId134"/>
    <sheet name="041" sheetId="41" r:id="rId135"/>
    <sheet name="040" sheetId="42" r:id="rId136"/>
    <sheet name="039" sheetId="43" r:id="rId137"/>
    <sheet name="038" sheetId="44" r:id="rId138"/>
    <sheet name="037" sheetId="40" r:id="rId139"/>
    <sheet name="036" sheetId="38" r:id="rId140"/>
    <sheet name="035" sheetId="39" r:id="rId141"/>
    <sheet name="034" sheetId="35" r:id="rId142"/>
    <sheet name="033" sheetId="34" r:id="rId143"/>
    <sheet name="032" sheetId="33" r:id="rId144"/>
    <sheet name="031" sheetId="32" r:id="rId145"/>
    <sheet name="030" sheetId="31" r:id="rId146"/>
    <sheet name="029" sheetId="30" r:id="rId147"/>
    <sheet name="028" sheetId="29" r:id="rId148"/>
    <sheet name="027" sheetId="28" r:id="rId149"/>
    <sheet name="026" sheetId="27" r:id="rId150"/>
    <sheet name="025" sheetId="26" r:id="rId151"/>
    <sheet name="024" sheetId="25" r:id="rId152"/>
    <sheet name="023" sheetId="24" r:id="rId153"/>
    <sheet name="022" sheetId="23" r:id="rId154"/>
    <sheet name="021" sheetId="22" r:id="rId155"/>
    <sheet name="020" sheetId="21" r:id="rId156"/>
    <sheet name="019" sheetId="20" r:id="rId157"/>
    <sheet name="018" sheetId="19" r:id="rId158"/>
    <sheet name="017" sheetId="18" r:id="rId159"/>
    <sheet name="016" sheetId="17" r:id="rId160"/>
    <sheet name="015" sheetId="16" r:id="rId161"/>
    <sheet name="014" sheetId="15" r:id="rId162"/>
    <sheet name="013" sheetId="9" r:id="rId163"/>
    <sheet name="012" sheetId="14" r:id="rId164"/>
    <sheet name="011" sheetId="13" r:id="rId165"/>
    <sheet name="010" sheetId="12" r:id="rId166"/>
    <sheet name="009" sheetId="10" r:id="rId167"/>
    <sheet name="008" sheetId="8" r:id="rId168"/>
    <sheet name="007" sheetId="7" r:id="rId169"/>
    <sheet name="006" sheetId="3" r:id="rId170"/>
    <sheet name="005" sheetId="4" r:id="rId171"/>
    <sheet name="004" sheetId="5" r:id="rId172"/>
    <sheet name="003" sheetId="6" r:id="rId173"/>
    <sheet name="002" sheetId="2" r:id="rId174"/>
    <sheet name="001" sheetId="1" r:id="rId175"/>
  </sheets>
  <externalReferences>
    <externalReference r:id="rId176"/>
    <externalReference r:id="rId177"/>
  </externalReferences>
  <definedNames>
    <definedName name="note" localSheetId="102">#REF!</definedName>
    <definedName name="note" localSheetId="77">#REF!</definedName>
    <definedName name="note" localSheetId="73">#REF!</definedName>
    <definedName name="note" localSheetId="69">#REF!</definedName>
    <definedName name="note" localSheetId="63">#REF!</definedName>
    <definedName name="note" localSheetId="61">#REF!</definedName>
    <definedName name="note" localSheetId="36">#REF!</definedName>
    <definedName name="note" localSheetId="25">#REF!</definedName>
    <definedName name="note">#REF!</definedName>
    <definedName name="_xlnm.Print_Area" localSheetId="174">'001'!$A$1:$J$43</definedName>
    <definedName name="_xlnm.Print_Area" localSheetId="173">'002'!$A$1:$J$43</definedName>
    <definedName name="_xlnm.Print_Area" localSheetId="172">'003'!$A$1:$J$43</definedName>
    <definedName name="_xlnm.Print_Area" localSheetId="171">'004'!$A$1:$J$43</definedName>
    <definedName name="_xlnm.Print_Area" localSheetId="170">'005'!$A$1:$J$43</definedName>
    <definedName name="_xlnm.Print_Area" localSheetId="169">'006'!$A$1:$J$43</definedName>
    <definedName name="_xlnm.Print_Area" localSheetId="168">'007'!$A$1:$J$43</definedName>
    <definedName name="_xlnm.Print_Area" localSheetId="167">'008'!$A$1:$J$43</definedName>
    <definedName name="_xlnm.Print_Area" localSheetId="166">'009'!$A$1:$J$43</definedName>
    <definedName name="_xlnm.Print_Area" localSheetId="165">'010'!$A$1:$J$43</definedName>
    <definedName name="_xlnm.Print_Area" localSheetId="164">'011'!$A$1:$J$43</definedName>
    <definedName name="_xlnm.Print_Area" localSheetId="163">'012'!$A$1:$J$43</definedName>
    <definedName name="_xlnm.Print_Area" localSheetId="162">'013'!$A$1:$J$43</definedName>
    <definedName name="_xlnm.Print_Area" localSheetId="161">'014'!$A$1:$J$43</definedName>
    <definedName name="_xlnm.Print_Area" localSheetId="160">'015'!$A$1:$J$43</definedName>
    <definedName name="_xlnm.Print_Area" localSheetId="159">'016'!$A$1:$J$43</definedName>
    <definedName name="_xlnm.Print_Area" localSheetId="158">'017'!$A$1:$J$43</definedName>
    <definedName name="_xlnm.Print_Area" localSheetId="157">'018'!$A$1:$J$43</definedName>
    <definedName name="_xlnm.Print_Area" localSheetId="156">'019'!$A$1:$J$43</definedName>
    <definedName name="_xlnm.Print_Area" localSheetId="155">'020'!$A$1:$J$43</definedName>
    <definedName name="_xlnm.Print_Area" localSheetId="154">'021'!$A$1:$J$43</definedName>
    <definedName name="_xlnm.Print_Area" localSheetId="153">'022'!$A$1:$J$43</definedName>
    <definedName name="_xlnm.Print_Area" localSheetId="152">'023'!$A$1:$J$43</definedName>
    <definedName name="_xlnm.Print_Area" localSheetId="151">'024'!$A$1:$J$43</definedName>
    <definedName name="_xlnm.Print_Area" localSheetId="150">'025'!$A$1:$J$43</definedName>
    <definedName name="_xlnm.Print_Area" localSheetId="149">'026'!$A$1:$J$43</definedName>
    <definedName name="_xlnm.Print_Area" localSheetId="148">'027'!$A$1:$J$43</definedName>
    <definedName name="_xlnm.Print_Area" localSheetId="147">'028'!$A$1:$J$43</definedName>
    <definedName name="_xlnm.Print_Area" localSheetId="146">'029'!$A$1:$J$43</definedName>
    <definedName name="_xlnm.Print_Area" localSheetId="145">'030'!$A$1:$J$43</definedName>
    <definedName name="_xlnm.Print_Area" localSheetId="144">'031'!$A$1:$J$43</definedName>
    <definedName name="_xlnm.Print_Area" localSheetId="143">'032'!$A$1:$J$43</definedName>
    <definedName name="_xlnm.Print_Area" localSheetId="142">'033'!$A$1:$J$43</definedName>
    <definedName name="_xlnm.Print_Area" localSheetId="141">'034'!$A$1:$J$43</definedName>
    <definedName name="_xlnm.Print_Area" localSheetId="140">'035'!$A$1:$J$43</definedName>
    <definedName name="_xlnm.Print_Area" localSheetId="139">'036'!$A$1:$J$43</definedName>
    <definedName name="_xlnm.Print_Area" localSheetId="138">'037'!$A$1:$J$43</definedName>
    <definedName name="_xlnm.Print_Area" localSheetId="137">'038'!$A$1:$J$43</definedName>
    <definedName name="_xlnm.Print_Area" localSheetId="136">'039'!$A$1:$J$43</definedName>
    <definedName name="_xlnm.Print_Area" localSheetId="135">'040'!$A$1:$J$43</definedName>
    <definedName name="_xlnm.Print_Area" localSheetId="134">'041'!$A$1:$J$43</definedName>
    <definedName name="_xlnm.Print_Area" localSheetId="133">'042'!$A$1:$J$43</definedName>
    <definedName name="_xlnm.Print_Area" localSheetId="132">'043'!$A$1:$J$43</definedName>
    <definedName name="_xlnm.Print_Area" localSheetId="131">'044'!$A$1:$J$43</definedName>
    <definedName name="_xlnm.Print_Area" localSheetId="130">'045'!$A$1:$J$43</definedName>
    <definedName name="_xlnm.Print_Area" localSheetId="129">'046'!$A$1:$J$43</definedName>
    <definedName name="_xlnm.Print_Area" localSheetId="128">'047'!$A$1:$J$43</definedName>
    <definedName name="_xlnm.Print_Area" localSheetId="127">'048'!$A$1:$J$43</definedName>
    <definedName name="_xlnm.Print_Area" localSheetId="126">'056'!$A$1:$J$43</definedName>
    <definedName name="_xlnm.Print_Area" localSheetId="125">'057'!$A$1:$J$43</definedName>
    <definedName name="_xlnm.Print_Area" localSheetId="124">'059'!$A$1:$J$43</definedName>
    <definedName name="_xlnm.Print_Area" localSheetId="123">'069'!$A$1:$J$43</definedName>
    <definedName name="_xlnm.Print_Area" localSheetId="122">'070'!$A$1:$J$43</definedName>
    <definedName name="_xlnm.Print_Area" localSheetId="121">'073'!$A$1:$J$43</definedName>
    <definedName name="_xlnm.Print_Area" localSheetId="120">'074'!$A$1:$J$43</definedName>
    <definedName name="_xlnm.Print_Area" localSheetId="119">'075'!$A$1:$J$43</definedName>
    <definedName name="_xlnm.Print_Area" localSheetId="118">'076'!$A$1:$J$43</definedName>
    <definedName name="_xlnm.Print_Area" localSheetId="117">'083'!$A$1:$J$43</definedName>
    <definedName name="_xlnm.Print_Area" localSheetId="116">'084'!$A$1:$J$43</definedName>
    <definedName name="_xlnm.Print_Area" localSheetId="115">'085'!$A$1:$J$43</definedName>
    <definedName name="_xlnm.Print_Area" localSheetId="114">'086'!$A$1:$J$43</definedName>
    <definedName name="_xlnm.Print_Area" localSheetId="113">'087'!$A$1:$J$43</definedName>
    <definedName name="_xlnm.Print_Area" localSheetId="112">'088'!$A$1:$J$43</definedName>
    <definedName name="_xlnm.Print_Area" localSheetId="111">'089'!$A$1:$J$43</definedName>
    <definedName name="_xlnm.Print_Area" localSheetId="110">'090'!$A$1:$J$43</definedName>
    <definedName name="_xlnm.Print_Area" localSheetId="109">'100'!$A$1:$J$43</definedName>
    <definedName name="_xlnm.Print_Area" localSheetId="108">'106'!$A$1:$J$43</definedName>
    <definedName name="_xlnm.Print_Area" localSheetId="107">'110'!$A$1:$J$43</definedName>
    <definedName name="_xlnm.Print_Area" localSheetId="106">'111'!$A$1:$J$43</definedName>
    <definedName name="_xlnm.Print_Area" localSheetId="105">'112'!$A$1:$J$50</definedName>
    <definedName name="_xlnm.Print_Area" localSheetId="104">'113'!$A$1:$J$50</definedName>
    <definedName name="_xlnm.Print_Area" localSheetId="103">'114'!$A$1:$J$50</definedName>
    <definedName name="_xlnm.Print_Area" localSheetId="102">'115'!$A$1:$J$43</definedName>
    <definedName name="_xlnm.Print_Area" localSheetId="101">'116'!$A$1:$J$43</definedName>
    <definedName name="_xlnm.Print_Area" localSheetId="100">'117'!$A$1:$J$43</definedName>
    <definedName name="_xlnm.Print_Area" localSheetId="99">'118'!$A$1:$J$43</definedName>
    <definedName name="_xlnm.Print_Area" localSheetId="98">'119'!$A$1:$J$43</definedName>
    <definedName name="_xlnm.Print_Area" localSheetId="97">'120'!$A$1:$J$43</definedName>
    <definedName name="_xlnm.Print_Area" localSheetId="96">'121'!$A$1:$J$43</definedName>
    <definedName name="_xlnm.Print_Area" localSheetId="95">'122'!$A$1:$J$43</definedName>
    <definedName name="_xlnm.Print_Area" localSheetId="93">'124'!$A$1:$J$43</definedName>
    <definedName name="_xlnm.Print_Area" localSheetId="92">'125'!$A$1:$J$43</definedName>
    <definedName name="_xlnm.Print_Area" localSheetId="91">'126'!$A$1:$J$43</definedName>
    <definedName name="_xlnm.Print_Area" localSheetId="90">'127'!$A$1:$J$43</definedName>
    <definedName name="_xlnm.Print_Area" localSheetId="89">'128'!$A$1:$J$43</definedName>
    <definedName name="_xlnm.Print_Area" localSheetId="88">'129'!$A$1:$J$43</definedName>
    <definedName name="_xlnm.Print_Area" localSheetId="87">'130'!$A$1:$J$43</definedName>
    <definedName name="_xlnm.Print_Area" localSheetId="86">'131'!$A$1:$J$43</definedName>
    <definedName name="_xlnm.Print_Area" localSheetId="85">'132'!$A$1:$J$43</definedName>
    <definedName name="_xlnm.Print_Area" localSheetId="84">'133'!$A$1:$J$43</definedName>
    <definedName name="_xlnm.Print_Area" localSheetId="83">'134'!$A$1:$J$43</definedName>
    <definedName name="_xlnm.Print_Area" localSheetId="82">'135'!$A$1:$J$43</definedName>
    <definedName name="_xlnm.Print_Area" localSheetId="81">'136'!$A$1:$J$43</definedName>
    <definedName name="_xlnm.Print_Area" localSheetId="80">'137'!$A$1:$J$42</definedName>
    <definedName name="_xlnm.Print_Area" localSheetId="79">'138'!$A$1:$J$43</definedName>
    <definedName name="_xlnm.Print_Area" localSheetId="78">'139'!$A$1:$J$43</definedName>
    <definedName name="_xlnm.Print_Area" localSheetId="77">'140'!$A$1:$J$41</definedName>
    <definedName name="_xlnm.Print_Area" localSheetId="76">'141'!$A$1:$J$43</definedName>
    <definedName name="_xlnm.Print_Area" localSheetId="75">'142'!$A$1:$J$43</definedName>
    <definedName name="_xlnm.Print_Area" localSheetId="74">'143'!$A$1:$J$43</definedName>
    <definedName name="_xlnm.Print_Area" localSheetId="73">'144'!$A$1:$J$99</definedName>
    <definedName name="_xlnm.Print_Area" localSheetId="72">'145'!$A$1:$J$99</definedName>
    <definedName name="_xlnm.Print_Area" localSheetId="71">'146'!$A$1:$J$43</definedName>
    <definedName name="_xlnm.Print_Area" localSheetId="70">'147'!$A$1:$J$43</definedName>
    <definedName name="_xlnm.Print_Area" localSheetId="69">'148'!$A$1:$J$99</definedName>
    <definedName name="_xlnm.Print_Area" localSheetId="68">'149'!$A$1:$J$42</definedName>
    <definedName name="_xlnm.Print_Area" localSheetId="67">'150'!$A$1:$J$79</definedName>
    <definedName name="_xlnm.Print_Area" localSheetId="66">'151'!$A$1:$J$79</definedName>
    <definedName name="_xlnm.Print_Area" localSheetId="65">'152'!$A$1:$J$43</definedName>
    <definedName name="_xlnm.Print_Area" localSheetId="64">'153'!$A$1:$J$43</definedName>
    <definedName name="_xlnm.Print_Area" localSheetId="63">'154'!$A$1:$J$43</definedName>
    <definedName name="_xlnm.Print_Area" localSheetId="62">'155'!$A$1:$J$50</definedName>
    <definedName name="_xlnm.Print_Area" localSheetId="61">'156'!$A$1:$J$43</definedName>
    <definedName name="_xlnm.Print_Area" localSheetId="60">'157'!$A$1:$J$42</definedName>
    <definedName name="_xlnm.Print_Area" localSheetId="59">'158'!$A$1:$J$60</definedName>
    <definedName name="_xlnm.Print_Area" localSheetId="58">'159'!$A$1:$J$43</definedName>
    <definedName name="_xlnm.Print_Area" localSheetId="57">'160'!$A$1:$J$43</definedName>
    <definedName name="_xlnm.Print_Area" localSheetId="56">'161'!$A$1:$J$43</definedName>
    <definedName name="_xlnm.Print_Area" localSheetId="55">'162'!$A$1:$J$43</definedName>
    <definedName name="_xlnm.Print_Area" localSheetId="54">'163'!$A$1:$J$43</definedName>
    <definedName name="_xlnm.Print_Area" localSheetId="53">'164'!$A$1:$J$43</definedName>
    <definedName name="_xlnm.Print_Area" localSheetId="52">'165'!$A$1:$J$43</definedName>
    <definedName name="_xlnm.Print_Area" localSheetId="51">'166'!$A$1:$J$43</definedName>
    <definedName name="_xlnm.Print_Area" localSheetId="50">'167'!$A$1:$J$43</definedName>
    <definedName name="_xlnm.Print_Area" localSheetId="49">'168'!$A$1:$J$43</definedName>
    <definedName name="_xlnm.Print_Area" localSheetId="48">'169'!$A$1:$J$43</definedName>
    <definedName name="_xlnm.Print_Area" localSheetId="47">'170'!$A$1:$J$43</definedName>
    <definedName name="_xlnm.Print_Area" localSheetId="46">'171'!$A$1:$J$43</definedName>
    <definedName name="_xlnm.Print_Area" localSheetId="45">'172'!$A$1:$J$43</definedName>
    <definedName name="_xlnm.Print_Area" localSheetId="44">'173'!$A$1:$J$43</definedName>
    <definedName name="_xlnm.Print_Area" localSheetId="43">'174'!$A$1:$J$43</definedName>
    <definedName name="_xlnm.Print_Area" localSheetId="42">'175'!$A$1:$J$43</definedName>
    <definedName name="_xlnm.Print_Area" localSheetId="41">'176'!$A$1:$J$43</definedName>
    <definedName name="_xlnm.Print_Area" localSheetId="40">'177'!$A$1:$J$43</definedName>
    <definedName name="_xlnm.Print_Area" localSheetId="39">'178'!$A$1:$J$43</definedName>
    <definedName name="_xlnm.Print_Area" localSheetId="38">'179'!$A$1:$J$43</definedName>
    <definedName name="_xlnm.Print_Area" localSheetId="37">'180'!$A$1:$J$43</definedName>
    <definedName name="_xlnm.Print_Area" localSheetId="36">'181'!$A$1:$J$43</definedName>
    <definedName name="_xlnm.Print_Area" localSheetId="35">'182'!$A$1:$J$43</definedName>
    <definedName name="_xlnm.Print_Area" localSheetId="34">'183'!$A$1:$J$42</definedName>
    <definedName name="_xlnm.Print_Area" localSheetId="33">'184'!$A$1:$J$42</definedName>
    <definedName name="_xlnm.Print_Area" localSheetId="32">'185'!$A$1:$J$43</definedName>
    <definedName name="_xlnm.Print_Area" localSheetId="31">'186'!$A$1:$J$43</definedName>
    <definedName name="_xlnm.Print_Area" localSheetId="30">'187'!$A$1:$J$43</definedName>
    <definedName name="_xlnm.Print_Area" localSheetId="29">'188'!$A$1:$J$43</definedName>
    <definedName name="_xlnm.Print_Area" localSheetId="28">'189'!$A$1:$J$43</definedName>
    <definedName name="_xlnm.Print_Area" localSheetId="27">'190'!$A$1:$J$43</definedName>
    <definedName name="_xlnm.Print_Area" localSheetId="26">'191'!$A$1:$J$43</definedName>
    <definedName name="_xlnm.Print_Area" localSheetId="25">'192'!$A$1:$J$43</definedName>
    <definedName name="_xlnm.Print_Area" localSheetId="24">'193'!$A$1:$J$43</definedName>
    <definedName name="_xlnm.Print_Area" localSheetId="23">'194'!$A$1:$J$43</definedName>
    <definedName name="_xlnm.Print_Area" localSheetId="22">'195'!$A$1:$J$43</definedName>
    <definedName name="_xlnm.Print_Area" localSheetId="21">'196'!$A$1:$J$43</definedName>
    <definedName name="_xlnm.Print_Area" localSheetId="20">'197'!$A$1:$J$43</definedName>
    <definedName name="_xlnm.Print_Area" localSheetId="19">'198'!$A$1:$J$43</definedName>
    <definedName name="_xlnm.Print_Area" localSheetId="18">'199'!$A$1:$J$43</definedName>
    <definedName name="_xlnm.Print_Area" localSheetId="17">'200'!$A$1:$J$43</definedName>
    <definedName name="_xlnm.Print_Area" localSheetId="16">'201'!$A$1:$J$43</definedName>
    <definedName name="_xlnm.Print_Area" localSheetId="15">'202'!$A$1:$J$43</definedName>
    <definedName name="_xlnm.Print_Area" localSheetId="14">'203'!$A$1:$J$43</definedName>
    <definedName name="_xlnm.Print_Area" localSheetId="13">'204'!$A$1:$J$43</definedName>
    <definedName name="_xlnm.Print_Area" localSheetId="12">'205'!$A$1:$J$43</definedName>
    <definedName name="_xlnm.Print_Area" localSheetId="11">'206'!$A$1:$J$43</definedName>
    <definedName name="_xlnm.Print_Area" localSheetId="10">'207'!$A$1:$J$43</definedName>
    <definedName name="_xlnm.Print_Area" localSheetId="9">'208'!$A$1:$J$43</definedName>
    <definedName name="_xlnm.Print_Area" localSheetId="8">'209'!$A$1:$J$43</definedName>
    <definedName name="_xlnm.Print_Area" localSheetId="7">'210'!$A$1:$J$43</definedName>
    <definedName name="_xlnm.Print_Area" localSheetId="6">'211'!$A$1:$J$43</definedName>
    <definedName name="_xlnm.Print_Area" localSheetId="5">'212'!$A$1:$J$43</definedName>
    <definedName name="_xlnm.Print_Area" localSheetId="4">'213'!$A$1:$J$43</definedName>
    <definedName name="_xlnm.Print_Area" localSheetId="3">'214'!$A$1:$J$43</definedName>
    <definedName name="_xlnm.Print_Area" localSheetId="2">'215'!$A$1:$J$43</definedName>
    <definedName name="_xlnm.Print_Area" localSheetId="1">'216'!$A$1:$J$43</definedName>
    <definedName name="_xlnm.Print_Area" localSheetId="0">'217'!$A$1:$J$43</definedName>
    <definedName name="rs_table">'[1]001'!$B$11:$J$25,'[1]001'!$D$26:$E$27</definedName>
    <definedName name="RS15_00620" localSheetId="174">[2]MEYNARD!$D$25</definedName>
    <definedName name="RS15_00620" localSheetId="173">[2]MEYNARD!$D$25</definedName>
    <definedName name="RS15_00620" localSheetId="172">[2]MEYNARD!$D$25</definedName>
    <definedName name="RS15_00620" localSheetId="171">[2]MEYNARD!$D$25</definedName>
    <definedName name="RS15_00620" localSheetId="170">[2]MEYNARD!$D$25</definedName>
    <definedName name="RS15_00620" localSheetId="169">[2]MEYNARD!$D$25</definedName>
    <definedName name="RS15_00620" localSheetId="168">[2]MEYNARD!$D$25</definedName>
    <definedName name="RS15_00620" localSheetId="167">[2]MEYNARD!$D$25</definedName>
    <definedName name="RS15_00620" localSheetId="166">[2]MEYNARD!$D$25</definedName>
    <definedName name="RS15_00620" localSheetId="165">[2]MEYNARD!$D$25</definedName>
    <definedName name="RS15_00620" localSheetId="164">[2]MEYNARD!$D$25</definedName>
    <definedName name="RS15_00620" localSheetId="163">[2]MEYNARD!$D$25</definedName>
    <definedName name="RS15_00620" localSheetId="162">[2]MEYNARD!$D$25</definedName>
    <definedName name="RS15_00620" localSheetId="161">[2]MEYNARD!$D$25</definedName>
    <definedName name="RS15_00620" localSheetId="160">[2]MEYNARD!$D$25</definedName>
    <definedName name="RS15_00620" localSheetId="159">[2]MEYNARD!$D$25</definedName>
    <definedName name="RS15_00620" localSheetId="158">[2]MEYNARD!$D$25</definedName>
    <definedName name="RS15_00620" localSheetId="157">[2]MEYNARD!$D$25</definedName>
    <definedName name="RS15_00620" localSheetId="156">[2]MEYNARD!$D$25</definedName>
    <definedName name="RS15_00620" localSheetId="155">[2]MEYNARD!$D$25</definedName>
    <definedName name="RS15_00620" localSheetId="154">[2]MEYNARD!$D$25</definedName>
    <definedName name="RS15_00620" localSheetId="153">[2]MEYNARD!$D$25</definedName>
    <definedName name="RS15_00620" localSheetId="152">[2]MEYNARD!$D$25</definedName>
    <definedName name="RS15_00620" localSheetId="151">[2]MEYNARD!$D$25</definedName>
    <definedName name="RS15_00620" localSheetId="150">[2]MEYNARD!$D$25</definedName>
    <definedName name="RS15_00620" localSheetId="149">[2]MEYNARD!$D$25</definedName>
    <definedName name="RS15_00620" localSheetId="148">[2]MEYNARD!$D$25</definedName>
    <definedName name="RS15_00620" localSheetId="147">[2]MEYNARD!$D$25</definedName>
    <definedName name="RS15_00620" localSheetId="146">[2]MEYNARD!$D$25</definedName>
    <definedName name="RS15_00620" localSheetId="145">[2]MEYNARD!$D$25</definedName>
    <definedName name="RS15_00620" localSheetId="144">[2]MEYNARD!$D$25</definedName>
    <definedName name="RS15_00620" localSheetId="143">[2]MEYNARD!$D$25</definedName>
    <definedName name="RS15_00620" localSheetId="142">[2]MEYNARD!$D$25</definedName>
    <definedName name="RS15_00620" localSheetId="141">[2]MEYNARD!$D$25</definedName>
    <definedName name="RS15_00620" localSheetId="140">[2]MEYNARD!$D$25</definedName>
    <definedName name="RS15_00620" localSheetId="139">[2]MEYNARD!$D$25</definedName>
    <definedName name="RS15_00620" localSheetId="138">[2]MEYNARD!$D$25</definedName>
    <definedName name="RS15_00620" localSheetId="137">[2]MEYNARD!$D$25</definedName>
    <definedName name="RS15_00620" localSheetId="136">[2]MEYNARD!$D$25</definedName>
    <definedName name="RS15_00620" localSheetId="135">[2]MEYNARD!$D$25</definedName>
    <definedName name="RS15_00620" localSheetId="134">[2]MEYNARD!$D$25</definedName>
    <definedName name="RS15_00620" localSheetId="133">[2]MEYNARD!$D$25</definedName>
    <definedName name="RS15_00620" localSheetId="132">[2]MEYNARD!$D$25</definedName>
    <definedName name="RS15_00620" localSheetId="131">[2]MEYNARD!$D$25</definedName>
    <definedName name="RS15_00620" localSheetId="130">[2]MEYNARD!$D$25</definedName>
    <definedName name="RS15_00620" localSheetId="129">[2]MEYNARD!$D$25</definedName>
    <definedName name="RS15_00620" localSheetId="128">[2]MEYNARD!$D$25</definedName>
    <definedName name="RS15_00620" localSheetId="127">[2]MEYNARD!$D$25</definedName>
    <definedName name="RS15_00620" localSheetId="126">[2]MEYNARD!$D$25</definedName>
    <definedName name="RS15_00620" localSheetId="125">[2]MEYNARD!$D$25</definedName>
    <definedName name="RS15_00620" localSheetId="124">[2]MEYNARD!$D$25</definedName>
    <definedName name="RS15_00620" localSheetId="123">[2]MEYNARD!$D$25</definedName>
    <definedName name="RS15_00620" localSheetId="122">[2]MEYNARD!$D$25</definedName>
    <definedName name="RS15_00620" localSheetId="121">[2]MEYNARD!$D$25</definedName>
    <definedName name="RS15_00620" localSheetId="120">[2]MEYNARD!$D$25</definedName>
    <definedName name="RS15_00620" localSheetId="119">[2]MEYNARD!$D$25</definedName>
    <definedName name="RS15_00620" localSheetId="118">[2]MEYNARD!$D$25</definedName>
    <definedName name="RS15_00620" localSheetId="117">[2]MEYNARD!$D$25</definedName>
    <definedName name="RS15_00620" localSheetId="116">[2]MEYNARD!$D$25</definedName>
    <definedName name="RS15_00620" localSheetId="115">[2]MEYNARD!$D$25</definedName>
    <definedName name="RS15_00620" localSheetId="114">[2]MEYNARD!$D$25</definedName>
    <definedName name="RS15_00620" localSheetId="113">[2]MEYNARD!$D$25</definedName>
    <definedName name="RS15_00620" localSheetId="112">[2]MEYNARD!$D$25</definedName>
    <definedName name="RS15_00620" localSheetId="111">[2]MEYNARD!$D$25</definedName>
    <definedName name="RS15_00620" localSheetId="110">[2]MEYNARD!$D$25</definedName>
    <definedName name="RS15_00620" localSheetId="109">[2]MEYNARD!$D$25</definedName>
    <definedName name="RS15_00620" localSheetId="108">[2]MEYNARD!$D$25</definedName>
    <definedName name="RS15_00620" localSheetId="107">[2]MEYNARD!$D$25</definedName>
    <definedName name="RS15_00620" localSheetId="106">[2]MEYNARD!$D$25</definedName>
    <definedName name="RS15_00620" localSheetId="105">[2]MEYNARD!$D$25</definedName>
    <definedName name="RS15_00620" localSheetId="104">[2]MEYNARD!$D$25</definedName>
    <definedName name="RS15_00620" localSheetId="103">[2]MEYNARD!$D$25</definedName>
    <definedName name="RS15_00620" localSheetId="102">[2]MEYNARD!$D$25</definedName>
    <definedName name="RS15_00620" localSheetId="101">[2]MEYNARD!$D$25</definedName>
    <definedName name="RS15_00620" localSheetId="100">[2]MEYNARD!$D$25</definedName>
    <definedName name="RS15_00620" localSheetId="99">[2]MEYNARD!$D$25</definedName>
    <definedName name="RS15_00620" localSheetId="98">[2]MEYNARD!$D$25</definedName>
    <definedName name="RS15_00620" localSheetId="97">[2]MEYNARD!$D$25</definedName>
    <definedName name="RS15_00620" localSheetId="96">[2]MEYNARD!$D$25</definedName>
    <definedName name="RS15_00620" localSheetId="95">[2]MEYNARD!$D$25</definedName>
    <definedName name="RS15_00620" localSheetId="94">[2]MEYNARD!$D$25</definedName>
    <definedName name="RS15_00620" localSheetId="93">[2]MEYNARD!$D$25</definedName>
    <definedName name="RS15_00620" localSheetId="92">[2]MEYNARD!$D$25</definedName>
    <definedName name="RS15_00620" localSheetId="91">[2]MEYNARD!$D$25</definedName>
    <definedName name="RS15_00620" localSheetId="90">[2]MEYNARD!$D$25</definedName>
    <definedName name="RS15_00620" localSheetId="89">[2]MEYNARD!$D$25</definedName>
    <definedName name="RS15_00620" localSheetId="88">[2]MEYNARD!$D$25</definedName>
    <definedName name="RS15_00620" localSheetId="87">[2]MEYNARD!$D$25</definedName>
    <definedName name="RS15_00620" localSheetId="86">[2]MEYNARD!$D$25</definedName>
    <definedName name="RS15_00620" localSheetId="85">[2]MEYNARD!$D$25</definedName>
    <definedName name="RS15_00620" localSheetId="84">[2]MEYNARD!$D$25</definedName>
    <definedName name="RS15_00620" localSheetId="83">[2]MEYNARD!$D$25</definedName>
    <definedName name="RS15_00620" localSheetId="82">[2]MEYNARD!$D$25</definedName>
    <definedName name="RS15_00620" localSheetId="81">[2]MEYNARD!$D$25</definedName>
    <definedName name="RS15_00620" localSheetId="80">[2]MEYNARD!$D$25</definedName>
    <definedName name="RS15_00620" localSheetId="79">[2]MEYNARD!$D$25</definedName>
    <definedName name="RS15_00620" localSheetId="78">[2]MEYNARD!$D$25</definedName>
    <definedName name="RS15_00620" localSheetId="77">[2]MEYNARD!$D$25</definedName>
    <definedName name="RS15_00620" localSheetId="76">[2]MEYNARD!$D$25</definedName>
    <definedName name="RS15_00620" localSheetId="75">[2]MEYNARD!$D$25</definedName>
    <definedName name="RS15_00620" localSheetId="74">[2]MEYNARD!$D$25</definedName>
    <definedName name="RS15_00620" localSheetId="73">[2]MEYNARD!$D$25</definedName>
    <definedName name="RS15_00620" localSheetId="72">[2]MEYNARD!$D$25</definedName>
    <definedName name="RS15_00620" localSheetId="71">[2]MEYNARD!$D$25</definedName>
    <definedName name="RS15_00620" localSheetId="70">[2]MEYNARD!$D$25</definedName>
    <definedName name="RS15_00620" localSheetId="69">[2]MEYNARD!$D$25</definedName>
    <definedName name="RS15_00620" localSheetId="68">[2]MEYNARD!$D$25</definedName>
    <definedName name="RS15_00620" localSheetId="67">[2]MEYNARD!$D$25</definedName>
    <definedName name="RS15_00620" localSheetId="66">[2]MEYNARD!$D$25</definedName>
    <definedName name="RS15_00620" localSheetId="65">[2]MEYNARD!$D$25</definedName>
    <definedName name="RS15_00620" localSheetId="64">[2]MEYNARD!$D$25</definedName>
    <definedName name="RS15_00620" localSheetId="63">[2]MEYNARD!$D$25</definedName>
    <definedName name="RS15_00620" localSheetId="62">[2]MEYNARD!$D$25</definedName>
    <definedName name="RS15_00620" localSheetId="61">[2]MEYNARD!$D$25</definedName>
    <definedName name="RS15_00620" localSheetId="60">[2]MEYNARD!$D$25</definedName>
    <definedName name="RS15_00620" localSheetId="59">[2]MEYNARD!$D$25</definedName>
    <definedName name="RS15_00620" localSheetId="58">[2]MEYNARD!$D$25</definedName>
    <definedName name="RS15_00620" localSheetId="57">[2]MEYNARD!$D$25</definedName>
    <definedName name="RS15_00620" localSheetId="56">[2]MEYNARD!$D$25</definedName>
    <definedName name="RS15_00620" localSheetId="55">[2]MEYNARD!$D$25</definedName>
    <definedName name="RS15_00620" localSheetId="54">[2]MEYNARD!$D$25</definedName>
    <definedName name="RS15_00620" localSheetId="53">[2]MEYNARD!$D$25</definedName>
    <definedName name="RS15_00620" localSheetId="52">[2]MEYNARD!$D$25</definedName>
    <definedName name="RS15_00620" localSheetId="51">[2]MEYNARD!$D$25</definedName>
    <definedName name="RS15_00620" localSheetId="50">[2]MEYNARD!$D$25</definedName>
    <definedName name="RS15_00620" localSheetId="49">[2]MEYNARD!$D$25</definedName>
    <definedName name="RS15_00620" localSheetId="48">[2]MEYNARD!$D$25</definedName>
    <definedName name="RS15_00620" localSheetId="47">[2]MEYNARD!$D$25</definedName>
    <definedName name="RS15_00620" localSheetId="46">[2]MEYNARD!$D$25</definedName>
    <definedName name="RS15_00620" localSheetId="45">[2]MEYNARD!$D$25</definedName>
    <definedName name="RS15_00620" localSheetId="44">[2]MEYNARD!$D$25</definedName>
    <definedName name="RS15_00620" localSheetId="43">[2]MEYNARD!$D$25</definedName>
    <definedName name="RS15_00620" localSheetId="42">[2]MEYNARD!$D$25</definedName>
    <definedName name="RS15_00620" localSheetId="41">[2]MEYNARD!$D$25</definedName>
    <definedName name="RS15_00620" localSheetId="40">[2]MEYNARD!$D$25</definedName>
    <definedName name="RS15_00620" localSheetId="39">[2]MEYNARD!$D$25</definedName>
    <definedName name="RS15_00620" localSheetId="38">[2]MEYNARD!$D$25</definedName>
    <definedName name="RS15_00620" localSheetId="37">[2]MEYNARD!$D$25</definedName>
    <definedName name="RS15_00620" localSheetId="36">[2]MEYNARD!$D$25</definedName>
    <definedName name="RS15_00620" localSheetId="35">[2]MEYNARD!$D$25</definedName>
    <definedName name="RS15_00620" localSheetId="34">[2]MEYNARD!$D$25</definedName>
    <definedName name="RS15_00620" localSheetId="33">[2]MEYNARD!$D$25</definedName>
    <definedName name="RS15_00620" localSheetId="32">[2]MEYNARD!$D$25</definedName>
    <definedName name="RS15_00620" localSheetId="31">[2]MEYNARD!$D$25</definedName>
    <definedName name="RS15_00620" localSheetId="30">[2]MEYNARD!$D$25</definedName>
    <definedName name="RS15_00620" localSheetId="29">[2]MEYNARD!$D$25</definedName>
    <definedName name="RS15_00620" localSheetId="28">[2]MEYNARD!$D$25</definedName>
    <definedName name="RS15_00620" localSheetId="27">[2]MEYNARD!$D$25</definedName>
    <definedName name="RS15_00620" localSheetId="26">[2]MEYNARD!$D$25</definedName>
    <definedName name="RS15_00620" localSheetId="25">[2]MEYNARD!$D$25</definedName>
    <definedName name="RS15_00620" localSheetId="24">[2]MEYNARD!$D$25</definedName>
    <definedName name="RS15_00620" localSheetId="23">[2]MEYNARD!$D$25</definedName>
    <definedName name="RS15_00620" localSheetId="22">[2]MEYNARD!$D$25</definedName>
    <definedName name="RS15_00620" localSheetId="21">[2]MEYNARD!$D$25</definedName>
    <definedName name="RS15_00620" localSheetId="20">[2]MEYNARD!$D$25</definedName>
    <definedName name="RS15_00620" localSheetId="19">[2]MEYNARD!$D$25</definedName>
    <definedName name="RS15_00620" localSheetId="18">[2]MEYNARD!$D$25</definedName>
    <definedName name="RS15_00620" localSheetId="17">[2]MEYNARD!$D$25</definedName>
    <definedName name="RS15_00620" localSheetId="16">[2]MEYNARD!$D$25</definedName>
    <definedName name="RS15_00620" localSheetId="15">[2]MEYNARD!$D$25</definedName>
    <definedName name="RS15_00620" localSheetId="14">[2]MEYNARD!$D$25</definedName>
    <definedName name="RS15_00620" localSheetId="13">[2]MEYNARD!$D$25</definedName>
    <definedName name="RS15_00620" localSheetId="12">[2]MEYNARD!$D$25</definedName>
    <definedName name="RS15_00620" localSheetId="11">[2]MEYNARD!$D$25</definedName>
    <definedName name="RS15_00620" localSheetId="10">[2]MEYNARD!$D$25</definedName>
    <definedName name="RS15_00620" localSheetId="9">[2]MEYNARD!$D$25</definedName>
    <definedName name="RS15_00620" localSheetId="8">[2]MEYNARD!$D$25</definedName>
    <definedName name="RS15_00620" localSheetId="7">[2]MEYNARD!$D$25</definedName>
    <definedName name="RS15_00620" localSheetId="6">[2]MEYNARD!$D$25</definedName>
    <definedName name="RS15_00620" localSheetId="5">[2]MEYNARD!$D$25</definedName>
    <definedName name="RS15_00620" localSheetId="4">[2]MEYNARD!$D$25</definedName>
    <definedName name="RS15_00620" localSheetId="3">[2]MEYNARD!$D$25</definedName>
    <definedName name="RS15_00620" localSheetId="2">[2]MEYNARD!$D$25</definedName>
    <definedName name="RS15_00620" localSheetId="1">[2]MEYNARD!$D$25</definedName>
    <definedName name="RS15_00620" localSheetId="0">[2]MEYNARD!$D$25</definedName>
    <definedName name="RSlip_Table">'[1]001'!$B$11:$J$25,'[1]001'!$D$26+'[1]001'!$B$11:$J$25,'[1]001'!$D$26:$E$27,'[1]001'!$C$34,'[1]001'!$J$34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25" i="193" l="1"/>
  <c r="L26" i="193" s="1"/>
  <c r="J11" i="193"/>
  <c r="M13" i="192"/>
  <c r="M14" i="192" s="1"/>
  <c r="J11" i="192"/>
  <c r="J26" i="192" s="1"/>
  <c r="J26" i="193" l="1"/>
  <c r="J11" i="191"/>
  <c r="J26" i="191" s="1"/>
  <c r="J13" i="188" l="1"/>
  <c r="J12" i="190" l="1"/>
  <c r="J13" i="190"/>
  <c r="J14" i="190"/>
  <c r="J15" i="190"/>
  <c r="J16" i="190"/>
  <c r="J20" i="190"/>
  <c r="J11" i="190"/>
  <c r="J26" i="190" l="1"/>
  <c r="L13" i="133" l="1"/>
  <c r="E50" i="189"/>
  <c r="J11" i="189"/>
  <c r="L27" i="189"/>
  <c r="J26" i="189"/>
  <c r="J26" i="188"/>
  <c r="J13" i="187"/>
  <c r="J26" i="187" s="1"/>
  <c r="J14" i="187"/>
  <c r="F12" i="165"/>
  <c r="J12" i="186" l="1"/>
  <c r="J26" i="186" s="1"/>
  <c r="J11" i="186"/>
  <c r="F19" i="164" l="1"/>
  <c r="F18" i="164"/>
  <c r="B11" i="183" l="1"/>
  <c r="J11" i="183" s="1"/>
  <c r="J26" i="183" s="1"/>
  <c r="L25" i="183"/>
  <c r="L26" i="183" s="1"/>
  <c r="M14" i="182"/>
  <c r="M13" i="182"/>
  <c r="J11" i="182"/>
  <c r="J26" i="182" s="1"/>
  <c r="J12" i="181"/>
  <c r="M13" i="181"/>
  <c r="M14" i="181" s="1"/>
  <c r="J11" i="181"/>
  <c r="J26" i="181" s="1"/>
  <c r="J11" i="180"/>
  <c r="J26" i="180" s="1"/>
  <c r="J11" i="179" l="1"/>
  <c r="L26" i="179"/>
  <c r="L25" i="179"/>
  <c r="J26" i="179"/>
  <c r="J12" i="178"/>
  <c r="J11" i="178"/>
  <c r="L26" i="178"/>
  <c r="L25" i="178"/>
  <c r="J13" i="177"/>
  <c r="J14" i="177"/>
  <c r="L25" i="177"/>
  <c r="L26" i="177" s="1"/>
  <c r="J11" i="177"/>
  <c r="J13" i="176"/>
  <c r="J12" i="176"/>
  <c r="J11" i="176"/>
  <c r="J26" i="178" l="1"/>
  <c r="J26" i="177"/>
  <c r="J26" i="176"/>
  <c r="N17" i="175" l="1"/>
  <c r="N12" i="175"/>
  <c r="N13" i="175"/>
  <c r="N14" i="175"/>
  <c r="N15" i="175"/>
  <c r="N16" i="175"/>
  <c r="N11" i="175"/>
  <c r="L17" i="175"/>
  <c r="L27" i="175"/>
  <c r="J16" i="175"/>
  <c r="J15" i="175"/>
  <c r="J14" i="175"/>
  <c r="J13" i="175"/>
  <c r="J12" i="175"/>
  <c r="J11" i="175"/>
  <c r="J26" i="175" l="1"/>
  <c r="J14" i="174" l="1"/>
  <c r="J13" i="174"/>
  <c r="F13" i="174"/>
  <c r="J11" i="174"/>
  <c r="B11" i="173"/>
  <c r="J12" i="174"/>
  <c r="J26" i="174" l="1"/>
  <c r="P7" i="164" l="1"/>
  <c r="J12" i="169"/>
  <c r="L25" i="173" l="1"/>
  <c r="L26" i="173" s="1"/>
  <c r="J11" i="173"/>
  <c r="J26" i="173" s="1"/>
  <c r="J26" i="172" l="1"/>
  <c r="O25" i="172"/>
  <c r="O26" i="172" s="1"/>
  <c r="J13" i="171"/>
  <c r="J26" i="171" s="1"/>
  <c r="J12" i="170" l="1"/>
  <c r="J13" i="170"/>
  <c r="J14" i="170"/>
  <c r="J15" i="170"/>
  <c r="J16" i="170"/>
  <c r="J17" i="170"/>
  <c r="J18" i="170"/>
  <c r="J26" i="170" s="1"/>
  <c r="J19" i="170"/>
  <c r="J20" i="170"/>
  <c r="J11" i="170"/>
  <c r="L26" i="170"/>
  <c r="L25" i="170"/>
  <c r="L25" i="169"/>
  <c r="L26" i="169" s="1"/>
  <c r="J11" i="169"/>
  <c r="J26" i="169" s="1"/>
  <c r="J11" i="168" l="1"/>
  <c r="J26" i="168" s="1"/>
  <c r="J11" i="167"/>
  <c r="J12" i="167"/>
  <c r="J26" i="167" l="1"/>
  <c r="F50" i="166" l="1"/>
  <c r="J11" i="166"/>
  <c r="J10" i="166"/>
  <c r="N17" i="165"/>
  <c r="N16" i="165"/>
  <c r="N15" i="165"/>
  <c r="N14" i="165"/>
  <c r="N13" i="165"/>
  <c r="N12" i="165"/>
  <c r="N11" i="165"/>
  <c r="J11" i="165"/>
  <c r="J26" i="165" s="1"/>
  <c r="N17" i="164"/>
  <c r="N16" i="164"/>
  <c r="N15" i="164"/>
  <c r="N14" i="164"/>
  <c r="N13" i="164"/>
  <c r="N12" i="164"/>
  <c r="N11" i="164"/>
  <c r="J11" i="164"/>
  <c r="J26" i="164" s="1"/>
  <c r="J24" i="166" l="1"/>
  <c r="N15" i="97"/>
  <c r="J15" i="163" l="1"/>
  <c r="J16" i="163"/>
  <c r="N17" i="163" l="1"/>
  <c r="N16" i="163"/>
  <c r="N15" i="163"/>
  <c r="N14" i="163"/>
  <c r="N13" i="163"/>
  <c r="N12" i="163"/>
  <c r="N11" i="163"/>
  <c r="J14" i="163"/>
  <c r="J13" i="163"/>
  <c r="J12" i="163"/>
  <c r="J11" i="163"/>
  <c r="N17" i="162"/>
  <c r="N16" i="162"/>
  <c r="N15" i="162"/>
  <c r="N14" i="162"/>
  <c r="N13" i="162"/>
  <c r="N12" i="162"/>
  <c r="N11" i="162"/>
  <c r="L26" i="162"/>
  <c r="L25" i="162"/>
  <c r="P12" i="162"/>
  <c r="P13" i="162" s="1"/>
  <c r="J12" i="162"/>
  <c r="J11" i="162"/>
  <c r="J26" i="162" s="1"/>
  <c r="P9" i="162"/>
  <c r="J12" i="160"/>
  <c r="J26" i="160" s="1"/>
  <c r="J11" i="160"/>
  <c r="L25" i="160"/>
  <c r="P13" i="160"/>
  <c r="P12" i="160"/>
  <c r="L11" i="160"/>
  <c r="L26" i="160" s="1"/>
  <c r="P9" i="160"/>
  <c r="J12" i="159"/>
  <c r="J13" i="159"/>
  <c r="J14" i="159"/>
  <c r="J15" i="159"/>
  <c r="J11" i="159"/>
  <c r="J26" i="159" s="1"/>
  <c r="J26" i="163" l="1"/>
  <c r="J11" i="158"/>
  <c r="J26" i="158"/>
  <c r="J11" i="157"/>
  <c r="J25" i="157" s="1"/>
  <c r="M4" i="156" l="1"/>
  <c r="J12" i="156"/>
  <c r="J11" i="156"/>
  <c r="J25" i="156" s="1"/>
  <c r="J12" i="155" l="1"/>
  <c r="F12" i="155"/>
  <c r="F11" i="155"/>
  <c r="N41" i="155"/>
  <c r="J11" i="155"/>
  <c r="J26" i="155" l="1"/>
  <c r="J12" i="138" l="1"/>
  <c r="J13" i="138"/>
  <c r="J14" i="138"/>
  <c r="J15" i="138"/>
  <c r="J16" i="138"/>
  <c r="J17" i="138"/>
  <c r="J18" i="138"/>
  <c r="J19" i="138"/>
  <c r="J11" i="138"/>
  <c r="J15" i="154"/>
  <c r="J14" i="154"/>
  <c r="J26" i="154"/>
  <c r="J11" i="152" l="1"/>
  <c r="J10" i="152"/>
  <c r="F50" i="152"/>
  <c r="P9" i="150"/>
  <c r="P13" i="150"/>
  <c r="P12" i="150"/>
  <c r="J24" i="152" l="1"/>
  <c r="J13" i="151"/>
  <c r="J12" i="151"/>
  <c r="J11" i="151"/>
  <c r="L25" i="150"/>
  <c r="L11" i="150"/>
  <c r="L26" i="150" s="1"/>
  <c r="J11" i="150"/>
  <c r="J26" i="150" s="1"/>
  <c r="J11" i="149"/>
  <c r="J26" i="149" s="1"/>
  <c r="J12" i="148"/>
  <c r="J11" i="148"/>
  <c r="J12" i="146"/>
  <c r="J13" i="146"/>
  <c r="J14" i="146"/>
  <c r="J15" i="146"/>
  <c r="J11" i="146"/>
  <c r="J11" i="145"/>
  <c r="J26" i="145" s="1"/>
  <c r="L26" i="143"/>
  <c r="J11" i="143"/>
  <c r="J11" i="144"/>
  <c r="J26" i="144" s="1"/>
  <c r="B11" i="143"/>
  <c r="J26" i="143" s="1"/>
  <c r="L25" i="143"/>
  <c r="L11" i="143"/>
  <c r="J26" i="151" l="1"/>
  <c r="J26" i="148"/>
  <c r="J26" i="146"/>
  <c r="L13" i="130" l="1"/>
  <c r="L12" i="130"/>
  <c r="L11" i="130"/>
  <c r="L33" i="118" l="1"/>
  <c r="J11" i="141" l="1"/>
  <c r="J26" i="141"/>
  <c r="N24" i="84"/>
  <c r="J26" i="130" l="1"/>
  <c r="J26" i="140" l="1"/>
  <c r="J15" i="140" l="1"/>
  <c r="J14" i="140"/>
  <c r="J13" i="140"/>
  <c r="J12" i="140"/>
  <c r="J11" i="140"/>
  <c r="J11" i="139"/>
  <c r="J26" i="139" s="1"/>
  <c r="L25" i="139"/>
  <c r="L11" i="139"/>
  <c r="L26" i="139" s="1"/>
  <c r="L11" i="102"/>
  <c r="J26" i="138"/>
  <c r="O14" i="133"/>
  <c r="O13" i="133"/>
  <c r="N13" i="133"/>
  <c r="J13" i="133"/>
  <c r="J26" i="133" s="1"/>
  <c r="O26" i="132"/>
  <c r="J26" i="132"/>
  <c r="O25" i="132"/>
  <c r="J13" i="131"/>
  <c r="J26" i="131" s="1"/>
  <c r="J12" i="130"/>
  <c r="J11" i="130"/>
  <c r="J11" i="127"/>
  <c r="J26" i="127" s="1"/>
  <c r="J11" i="126"/>
  <c r="J26" i="126"/>
  <c r="J26" i="125"/>
  <c r="J11" i="125"/>
  <c r="L12" i="69" l="1"/>
  <c r="L13" i="69"/>
  <c r="L11" i="69"/>
  <c r="K13" i="69"/>
  <c r="K12" i="69"/>
  <c r="K11" i="69"/>
  <c r="L12" i="68"/>
  <c r="L11" i="68"/>
  <c r="K11" i="68"/>
  <c r="L5" i="67"/>
  <c r="L4" i="67"/>
  <c r="L12" i="67"/>
  <c r="L11" i="67"/>
  <c r="K12" i="67"/>
  <c r="K11" i="67"/>
  <c r="L12" i="66"/>
  <c r="L11" i="66"/>
  <c r="K12" i="66"/>
  <c r="K11" i="66"/>
  <c r="L12" i="64"/>
  <c r="L13" i="64"/>
  <c r="L14" i="64"/>
  <c r="L15" i="64"/>
  <c r="L11" i="64"/>
  <c r="K15" i="64"/>
  <c r="K14" i="64"/>
  <c r="K13" i="64"/>
  <c r="K12" i="64"/>
  <c r="K11" i="64"/>
  <c r="L12" i="65"/>
  <c r="L11" i="65"/>
  <c r="K12" i="65"/>
  <c r="K11" i="65"/>
  <c r="L12" i="63"/>
  <c r="L11" i="63"/>
  <c r="K12" i="63"/>
  <c r="K11" i="63"/>
  <c r="L12" i="62"/>
  <c r="L11" i="62"/>
  <c r="B11" i="62"/>
  <c r="K12" i="62"/>
  <c r="K11" i="62"/>
  <c r="J26" i="124"/>
  <c r="J19" i="124"/>
  <c r="J18" i="124"/>
  <c r="J11" i="124"/>
  <c r="J19" i="123"/>
  <c r="J18" i="123"/>
  <c r="J11" i="123"/>
  <c r="J26" i="123" l="1"/>
  <c r="J40" i="121" l="1"/>
  <c r="J41" i="121"/>
  <c r="J42" i="121"/>
  <c r="J34" i="121"/>
  <c r="J35" i="121"/>
  <c r="J36" i="121"/>
  <c r="J37" i="121"/>
  <c r="J38" i="121"/>
  <c r="J39" i="121"/>
  <c r="J28" i="121"/>
  <c r="J29" i="121"/>
  <c r="J30" i="121"/>
  <c r="J31" i="121"/>
  <c r="J32" i="121"/>
  <c r="J33" i="121"/>
  <c r="J27" i="121"/>
  <c r="J26" i="121"/>
  <c r="J25" i="121"/>
  <c r="J24" i="121"/>
  <c r="J23" i="121"/>
  <c r="J14" i="121"/>
  <c r="J22" i="121"/>
  <c r="J21" i="121"/>
  <c r="J20" i="121"/>
  <c r="J19" i="121"/>
  <c r="J18" i="121"/>
  <c r="J17" i="121"/>
  <c r="J16" i="121"/>
  <c r="J15" i="121"/>
  <c r="J13" i="121"/>
  <c r="J12" i="121"/>
  <c r="J11" i="121"/>
  <c r="J15" i="120"/>
  <c r="J12" i="120"/>
  <c r="J13" i="120"/>
  <c r="J14" i="120"/>
  <c r="J11" i="120"/>
  <c r="J43" i="121" l="1"/>
  <c r="J25" i="120"/>
  <c r="F50" i="119" l="1"/>
  <c r="K16" i="119"/>
  <c r="J24" i="119"/>
  <c r="J12" i="118"/>
  <c r="J11" i="118"/>
  <c r="J10" i="117"/>
  <c r="K12" i="117" s="1"/>
  <c r="F50" i="117"/>
  <c r="K16" i="117"/>
  <c r="L26" i="116"/>
  <c r="J26" i="116"/>
  <c r="L25" i="116"/>
  <c r="J19" i="115"/>
  <c r="J18" i="115"/>
  <c r="J16" i="115"/>
  <c r="J13" i="115"/>
  <c r="J14" i="115"/>
  <c r="J15" i="115"/>
  <c r="J12" i="115"/>
  <c r="J11" i="115"/>
  <c r="J26" i="114"/>
  <c r="J12" i="112"/>
  <c r="J13" i="112"/>
  <c r="J11" i="112"/>
  <c r="D17" i="110"/>
  <c r="J10" i="110"/>
  <c r="D13" i="110"/>
  <c r="J26" i="111"/>
  <c r="J14" i="111"/>
  <c r="J12" i="111"/>
  <c r="J11" i="111"/>
  <c r="K12" i="119" l="1"/>
  <c r="J33" i="118"/>
  <c r="J24" i="117"/>
  <c r="J26" i="115"/>
  <c r="J26" i="113"/>
  <c r="J25" i="112"/>
  <c r="F50" i="110"/>
  <c r="J14" i="110"/>
  <c r="J24" i="110" s="1"/>
  <c r="K12" i="110"/>
  <c r="N41" i="109"/>
  <c r="J13" i="109"/>
  <c r="J12" i="109"/>
  <c r="J11" i="109"/>
  <c r="J26" i="109" s="1"/>
  <c r="J11" i="108"/>
  <c r="L26" i="108"/>
  <c r="L25" i="108"/>
  <c r="J12" i="108"/>
  <c r="J14" i="107"/>
  <c r="K16" i="107" s="1"/>
  <c r="D17" i="107"/>
  <c r="J10" i="107"/>
  <c r="D13" i="107"/>
  <c r="B14" i="107"/>
  <c r="F50" i="107"/>
  <c r="L26" i="106"/>
  <c r="J26" i="106"/>
  <c r="L25" i="106"/>
  <c r="L26" i="105"/>
  <c r="L25" i="105"/>
  <c r="J26" i="105"/>
  <c r="N41" i="104"/>
  <c r="J11" i="104"/>
  <c r="J26" i="104" s="1"/>
  <c r="J10" i="103"/>
  <c r="E47" i="103"/>
  <c r="F50" i="103" s="1"/>
  <c r="D43" i="103"/>
  <c r="J16" i="102"/>
  <c r="J17" i="102"/>
  <c r="J18" i="102"/>
  <c r="J14" i="102"/>
  <c r="J15" i="102"/>
  <c r="J13" i="102"/>
  <c r="L26" i="102"/>
  <c r="L25" i="102"/>
  <c r="J12" i="102"/>
  <c r="J11" i="102"/>
  <c r="K16" i="110" l="1"/>
  <c r="J26" i="108"/>
  <c r="J24" i="107"/>
  <c r="K12" i="107"/>
  <c r="E48" i="103"/>
  <c r="E50" i="103"/>
  <c r="J26" i="102"/>
  <c r="K12" i="103" l="1"/>
  <c r="J24" i="103"/>
  <c r="O26" i="100" l="1"/>
  <c r="J26" i="100"/>
  <c r="O25" i="100"/>
  <c r="J11" i="99"/>
  <c r="L26" i="98"/>
  <c r="L25" i="98"/>
  <c r="J11" i="98"/>
  <c r="O30" i="97"/>
  <c r="L26" i="97"/>
  <c r="L25" i="97"/>
  <c r="J17" i="97"/>
  <c r="J26" i="97" s="1"/>
  <c r="J16" i="97"/>
  <c r="J15" i="97"/>
  <c r="J14" i="97"/>
  <c r="J13" i="97"/>
  <c r="J12" i="97"/>
  <c r="J11" i="97"/>
  <c r="L26" i="96"/>
  <c r="L25" i="96"/>
  <c r="J17" i="96"/>
  <c r="J16" i="96"/>
  <c r="J15" i="96"/>
  <c r="J14" i="96"/>
  <c r="J13" i="96"/>
  <c r="J12" i="96"/>
  <c r="J11" i="96"/>
  <c r="J26" i="96" s="1"/>
  <c r="L26" i="95"/>
  <c r="J26" i="95"/>
  <c r="L25" i="95"/>
  <c r="J17" i="95"/>
  <c r="J16" i="95"/>
  <c r="J15" i="95"/>
  <c r="J14" i="95"/>
  <c r="J13" i="95"/>
  <c r="J12" i="95"/>
  <c r="J11" i="95"/>
  <c r="L26" i="94"/>
  <c r="J26" i="94"/>
  <c r="L25" i="94"/>
  <c r="J17" i="94"/>
  <c r="J16" i="94"/>
  <c r="J15" i="94"/>
  <c r="J14" i="94"/>
  <c r="J13" i="94"/>
  <c r="J12" i="94"/>
  <c r="J11" i="94"/>
  <c r="L26" i="93"/>
  <c r="L25" i="93"/>
  <c r="J17" i="93"/>
  <c r="J16" i="93"/>
  <c r="J15" i="93"/>
  <c r="J14" i="93"/>
  <c r="J13" i="93"/>
  <c r="J12" i="93"/>
  <c r="J11" i="93"/>
  <c r="J26" i="93" s="1"/>
  <c r="L26" i="92"/>
  <c r="J26" i="92"/>
  <c r="L25" i="92"/>
  <c r="J17" i="92"/>
  <c r="J16" i="92"/>
  <c r="J15" i="92"/>
  <c r="J14" i="92"/>
  <c r="J13" i="92"/>
  <c r="J12" i="92"/>
  <c r="J11" i="92"/>
  <c r="J17" i="91"/>
  <c r="J16" i="91"/>
  <c r="L25" i="91"/>
  <c r="L26" i="91" s="1"/>
  <c r="J15" i="91"/>
  <c r="J14" i="91"/>
  <c r="J13" i="91"/>
  <c r="J12" i="91"/>
  <c r="J11" i="91"/>
  <c r="J25" i="99" l="1"/>
  <c r="J26" i="98"/>
  <c r="J26" i="91"/>
  <c r="M13" i="90"/>
  <c r="M14" i="90" s="1"/>
  <c r="J11" i="90"/>
  <c r="J26" i="90" s="1"/>
  <c r="J12" i="89"/>
  <c r="N41" i="89"/>
  <c r="N24" i="89"/>
  <c r="J11" i="89"/>
  <c r="N41" i="88"/>
  <c r="J11" i="88"/>
  <c r="J26" i="88" s="1"/>
  <c r="J12" i="87"/>
  <c r="J26" i="87" s="1"/>
  <c r="J13" i="87"/>
  <c r="J14" i="87"/>
  <c r="J15" i="87"/>
  <c r="J11" i="87"/>
  <c r="L25" i="87"/>
  <c r="L26" i="87" s="1"/>
  <c r="J26" i="89" l="1"/>
  <c r="J11" i="86" l="1"/>
  <c r="J26" i="86" s="1"/>
  <c r="L26" i="86"/>
  <c r="L25" i="86"/>
  <c r="J12" i="85"/>
  <c r="J13" i="85"/>
  <c r="J14" i="85"/>
  <c r="J15" i="85"/>
  <c r="J16" i="85"/>
  <c r="J11" i="85"/>
  <c r="J12" i="84"/>
  <c r="J13" i="84"/>
  <c r="J14" i="84"/>
  <c r="J15" i="84"/>
  <c r="J16" i="84"/>
  <c r="J11" i="84"/>
  <c r="J29" i="85" l="1"/>
  <c r="J26" i="84"/>
  <c r="J26" i="83"/>
  <c r="J13" i="83"/>
  <c r="O26" i="82" l="1"/>
  <c r="J26" i="82"/>
  <c r="O25" i="82"/>
  <c r="N41" i="81"/>
  <c r="J26" i="81" l="1"/>
  <c r="M18" i="81"/>
  <c r="J26" i="80" l="1"/>
  <c r="J26" i="79"/>
  <c r="J26" i="78"/>
  <c r="J13" i="78"/>
  <c r="O14" i="77"/>
  <c r="O13" i="77"/>
  <c r="N13" i="77"/>
  <c r="J13" i="77"/>
  <c r="J26" i="77" s="1"/>
  <c r="P43" i="75"/>
  <c r="P42" i="75"/>
  <c r="J13" i="76"/>
  <c r="J12" i="76"/>
  <c r="J11" i="76"/>
  <c r="J33" i="76" s="1"/>
  <c r="J13" i="75"/>
  <c r="J12" i="75"/>
  <c r="J11" i="75"/>
  <c r="J33" i="75" l="1"/>
  <c r="O14" i="60"/>
  <c r="O13" i="60"/>
  <c r="N13" i="60"/>
  <c r="J32" i="74"/>
  <c r="J29" i="74"/>
  <c r="J28" i="74"/>
  <c r="J27" i="74"/>
  <c r="J26" i="74"/>
  <c r="J25" i="74"/>
  <c r="J18" i="74"/>
  <c r="J17" i="74"/>
  <c r="J14" i="74"/>
  <c r="J15" i="74"/>
  <c r="J16" i="74"/>
  <c r="J19" i="74"/>
  <c r="J20" i="74"/>
  <c r="J21" i="74"/>
  <c r="J22" i="74"/>
  <c r="J23" i="74"/>
  <c r="J24" i="74"/>
  <c r="J30" i="74"/>
  <c r="J31" i="74"/>
  <c r="J12" i="74" l="1"/>
  <c r="J11" i="74"/>
  <c r="J13" i="74"/>
  <c r="J33" i="74" l="1"/>
  <c r="J17" i="73"/>
  <c r="J12" i="73"/>
  <c r="J13" i="73"/>
  <c r="J11" i="73"/>
  <c r="N41" i="72"/>
  <c r="J11" i="72"/>
  <c r="J26" i="72" s="1"/>
  <c r="J26" i="73" l="1"/>
  <c r="N12" i="71"/>
  <c r="J12" i="71"/>
  <c r="J11" i="71"/>
  <c r="J26" i="71" s="1"/>
  <c r="N12" i="49"/>
  <c r="F11" i="70"/>
  <c r="J11" i="70" s="1"/>
  <c r="J26" i="70" s="1"/>
  <c r="N41" i="70"/>
  <c r="J26" i="69"/>
  <c r="N25" i="69"/>
  <c r="N26" i="69" s="1"/>
  <c r="J26" i="68"/>
  <c r="M25" i="68"/>
  <c r="M26" i="68" s="1"/>
  <c r="J26" i="67"/>
  <c r="M25" i="67"/>
  <c r="M26" i="67" s="1"/>
  <c r="J26" i="66"/>
  <c r="J26" i="65" l="1"/>
  <c r="L25" i="65"/>
  <c r="L26" i="65" s="1"/>
  <c r="J26" i="64"/>
  <c r="L25" i="64"/>
  <c r="L26" i="64" s="1"/>
  <c r="J26" i="63"/>
  <c r="L25" i="63"/>
  <c r="L25" i="62"/>
  <c r="L26" i="62" s="1"/>
  <c r="J26" i="62"/>
  <c r="J26" i="61"/>
  <c r="J13" i="60"/>
  <c r="J26" i="60" s="1"/>
  <c r="J26" i="58"/>
  <c r="J13" i="57"/>
  <c r="J26" i="57" s="1"/>
  <c r="L26" i="63" l="1"/>
  <c r="O25" i="55"/>
  <c r="O26" i="55" s="1"/>
  <c r="J16" i="56" l="1"/>
  <c r="J11" i="56"/>
  <c r="J26" i="56" l="1"/>
  <c r="J14" i="55" l="1"/>
  <c r="J13" i="55"/>
  <c r="M13" i="15"/>
  <c r="M14" i="15" s="1"/>
  <c r="J26" i="55" l="1"/>
  <c r="F11" i="52"/>
  <c r="N41" i="54" l="1"/>
  <c r="J11" i="54"/>
  <c r="J26" i="54" s="1"/>
  <c r="J12" i="53"/>
  <c r="J11" i="53"/>
  <c r="N41" i="52"/>
  <c r="J11" i="52"/>
  <c r="N41" i="51"/>
  <c r="J11" i="51"/>
  <c r="J26" i="51" s="1"/>
  <c r="L25" i="50"/>
  <c r="L26" i="50" s="1"/>
  <c r="F15" i="50"/>
  <c r="J15" i="50" s="1"/>
  <c r="F14" i="50"/>
  <c r="J14" i="50" s="1"/>
  <c r="F13" i="50"/>
  <c r="J13" i="50" s="1"/>
  <c r="F12" i="50"/>
  <c r="J12" i="50" s="1"/>
  <c r="F11" i="50"/>
  <c r="J11" i="50" s="1"/>
  <c r="J11" i="48"/>
  <c r="J26" i="53" l="1"/>
  <c r="L11" i="54"/>
  <c r="J26" i="52"/>
  <c r="J26" i="50"/>
  <c r="J18" i="47"/>
  <c r="J14" i="47"/>
  <c r="J15" i="47"/>
  <c r="J16" i="47"/>
  <c r="J17" i="47"/>
  <c r="J12" i="49"/>
  <c r="F14" i="49"/>
  <c r="J14" i="49" s="1"/>
  <c r="F11" i="49"/>
  <c r="J11" i="49" s="1"/>
  <c r="J13" i="49"/>
  <c r="J26" i="49" l="1"/>
  <c r="L26" i="48" l="1"/>
  <c r="M26" i="48" s="1"/>
  <c r="J26" i="48"/>
  <c r="J13" i="47"/>
  <c r="J12" i="47"/>
  <c r="J11" i="47"/>
  <c r="L26" i="47" l="1"/>
  <c r="M26" i="47" s="1"/>
  <c r="L26" i="46"/>
  <c r="M26" i="46" s="1"/>
  <c r="J14" i="45"/>
  <c r="J13" i="45"/>
  <c r="J26" i="45" s="1"/>
  <c r="J26" i="47" l="1"/>
  <c r="J11" i="46"/>
  <c r="J13" i="44"/>
  <c r="J26" i="44" s="1"/>
  <c r="J26" i="43"/>
  <c r="J13" i="42"/>
  <c r="J26" i="42" s="1"/>
  <c r="J26" i="41"/>
  <c r="J26" i="46" l="1"/>
  <c r="B12" i="40"/>
  <c r="B11" i="40"/>
  <c r="L11" i="40" s="1"/>
  <c r="N41" i="39"/>
  <c r="J11" i="39"/>
  <c r="J26" i="39" s="1"/>
  <c r="N41" i="38"/>
  <c r="N24" i="38"/>
  <c r="J11" i="38"/>
  <c r="J26" i="38" s="1"/>
  <c r="J12" i="35"/>
  <c r="J13" i="35"/>
  <c r="N41" i="35"/>
  <c r="J11" i="35"/>
  <c r="J11" i="34"/>
  <c r="J26" i="34" s="1"/>
  <c r="N41" i="33"/>
  <c r="J11" i="33"/>
  <c r="J26" i="33" s="1"/>
  <c r="N41" i="32"/>
  <c r="J11" i="32"/>
  <c r="J26" i="32" s="1"/>
  <c r="N41" i="31"/>
  <c r="J11" i="31"/>
  <c r="J26" i="31" s="1"/>
  <c r="J17" i="30"/>
  <c r="J11" i="30"/>
  <c r="J11" i="40" l="1"/>
  <c r="J26" i="35"/>
  <c r="J12" i="40"/>
  <c r="L12" i="40"/>
  <c r="L26" i="40" s="1"/>
  <c r="M26" i="40" s="1"/>
  <c r="J26" i="30"/>
  <c r="Q6" i="20"/>
  <c r="J26" i="40" l="1"/>
  <c r="N43" i="28"/>
  <c r="J11" i="29"/>
  <c r="J26" i="29" s="1"/>
  <c r="J19" i="28" l="1"/>
  <c r="J12" i="28"/>
  <c r="J13" i="28"/>
  <c r="J14" i="28"/>
  <c r="J15" i="28"/>
  <c r="J16" i="28"/>
  <c r="J17" i="28"/>
  <c r="J18" i="28"/>
  <c r="J11" i="28"/>
  <c r="J18" i="27"/>
  <c r="J19" i="27"/>
  <c r="J17" i="27"/>
  <c r="J11" i="27"/>
  <c r="L27" i="26"/>
  <c r="J17" i="26"/>
  <c r="J12" i="26"/>
  <c r="J13" i="26"/>
  <c r="J14" i="26"/>
  <c r="J15" i="26"/>
  <c r="J16" i="26"/>
  <c r="J11" i="26"/>
  <c r="J12" i="25"/>
  <c r="J11" i="25"/>
  <c r="J11" i="24"/>
  <c r="N41" i="24"/>
  <c r="F12" i="23"/>
  <c r="J12" i="23" s="1"/>
  <c r="F11" i="23"/>
  <c r="J11" i="23" s="1"/>
  <c r="N41" i="23"/>
  <c r="J26" i="25" l="1"/>
  <c r="J26" i="27"/>
  <c r="J26" i="28"/>
  <c r="J26" i="26"/>
  <c r="J26" i="24"/>
  <c r="J26" i="23"/>
  <c r="L11" i="23"/>
  <c r="J12" i="22"/>
  <c r="J11" i="22"/>
  <c r="J26" i="22" s="1"/>
  <c r="P6" i="22"/>
  <c r="Q6" i="22" s="1"/>
  <c r="P4" i="22"/>
  <c r="N41" i="21"/>
  <c r="J11" i="21"/>
  <c r="L11" i="21" s="1"/>
  <c r="R6" i="22" l="1"/>
  <c r="J26" i="21"/>
  <c r="P5" i="22"/>
  <c r="O45" i="20" l="1"/>
  <c r="J11" i="20" l="1"/>
  <c r="O1" i="20"/>
  <c r="J16" i="19"/>
  <c r="J15" i="19"/>
  <c r="J14" i="19"/>
  <c r="N13" i="19"/>
  <c r="J13" i="19"/>
  <c r="J12" i="19"/>
  <c r="J11" i="19"/>
  <c r="J26" i="19" s="1"/>
  <c r="O1" i="19"/>
  <c r="J16" i="18"/>
  <c r="J15" i="18"/>
  <c r="J14" i="18"/>
  <c r="N13" i="18"/>
  <c r="J13" i="18"/>
  <c r="J12" i="18"/>
  <c r="J11" i="18"/>
  <c r="O1" i="18"/>
  <c r="J17" i="17"/>
  <c r="J16" i="17"/>
  <c r="J15" i="17"/>
  <c r="J14" i="17"/>
  <c r="N13" i="17"/>
  <c r="J13" i="17"/>
  <c r="J12" i="17"/>
  <c r="J11" i="17"/>
  <c r="O1" i="17"/>
  <c r="J12" i="16"/>
  <c r="J13" i="16"/>
  <c r="J14" i="16"/>
  <c r="J15" i="16"/>
  <c r="J16" i="16"/>
  <c r="N13" i="16"/>
  <c r="J11" i="16"/>
  <c r="O1" i="16"/>
  <c r="J26" i="18" l="1"/>
  <c r="J26" i="20"/>
  <c r="J26" i="17"/>
  <c r="J26" i="16"/>
  <c r="J11" i="15"/>
  <c r="J26" i="15" s="1"/>
  <c r="N13" i="14"/>
  <c r="J13" i="14"/>
  <c r="J12" i="14"/>
  <c r="J11" i="14"/>
  <c r="J26" i="14" s="1"/>
  <c r="O1" i="14"/>
  <c r="J13" i="13"/>
  <c r="J12" i="13"/>
  <c r="J11" i="13"/>
  <c r="O1" i="13"/>
  <c r="J13" i="12"/>
  <c r="J12" i="12"/>
  <c r="J11" i="12"/>
  <c r="O1" i="12"/>
  <c r="J13" i="1"/>
  <c r="J12" i="1"/>
  <c r="J11" i="1"/>
  <c r="J26" i="12" l="1"/>
  <c r="J26" i="13"/>
  <c r="J12" i="10"/>
  <c r="P6" i="10"/>
  <c r="Q6" i="10" s="1"/>
  <c r="P4" i="10"/>
  <c r="R6" i="10" l="1"/>
  <c r="P5" i="10"/>
  <c r="J11" i="10"/>
  <c r="J26" i="10" s="1"/>
  <c r="N41" i="9"/>
  <c r="J11" i="9"/>
  <c r="L11" i="9" s="1"/>
  <c r="N41" i="8"/>
  <c r="J11" i="8"/>
  <c r="J26" i="8" s="1"/>
  <c r="N41" i="7"/>
  <c r="N24" i="7"/>
  <c r="J11" i="7"/>
  <c r="J26" i="7" s="1"/>
  <c r="J26" i="9" l="1"/>
  <c r="J13" i="6" l="1"/>
  <c r="J26" i="6" s="1"/>
  <c r="J26" i="5"/>
  <c r="J13" i="4"/>
  <c r="J26" i="4" s="1"/>
  <c r="J26" i="3"/>
  <c r="J11" i="2"/>
  <c r="J26" i="2" s="1"/>
  <c r="N25" i="2"/>
  <c r="O1" i="2"/>
  <c r="J26" i="1" l="1"/>
  <c r="O1" i="1"/>
</calcChain>
</file>

<file path=xl/sharedStrings.xml><?xml version="1.0" encoding="utf-8"?>
<sst xmlns="http://schemas.openxmlformats.org/spreadsheetml/2006/main" count="6680" uniqueCount="717">
  <si>
    <t>Unit D 3rd Floor, One Felicity Building, Commonwealth Ave., Q.C.                                                                                       Telefax:  (02) 931-4046/ (02) 426-8261</t>
  </si>
  <si>
    <t>REQUISITION SLIP</t>
  </si>
  <si>
    <t>Payee:</t>
  </si>
  <si>
    <t>R.S. #</t>
  </si>
  <si>
    <t>PO#: HOF</t>
  </si>
  <si>
    <t>Particulars:</t>
  </si>
  <si>
    <t xml:space="preserve">Date   Requested:          </t>
  </si>
  <si>
    <t>Project:</t>
  </si>
  <si>
    <t xml:space="preserve">Date Needed:                     </t>
  </si>
  <si>
    <t>QTY</t>
  </si>
  <si>
    <t>UNIT</t>
  </si>
  <si>
    <t>DESCRIPTION</t>
  </si>
  <si>
    <t>UNIT COST</t>
  </si>
  <si>
    <t>AMOUNT</t>
  </si>
  <si>
    <t>NOTE:</t>
  </si>
  <si>
    <t>PHP</t>
  </si>
  <si>
    <t xml:space="preserve">Requested By:                                         </t>
  </si>
  <si>
    <t xml:space="preserve">Prepared By:                                            </t>
  </si>
  <si>
    <t>Checked By:</t>
  </si>
  <si>
    <t xml:space="preserve">_______________________               </t>
  </si>
  <si>
    <t>_____________________</t>
  </si>
  <si>
    <t>Engr. Dennis Hernandez</t>
  </si>
  <si>
    <t>Winamarie Busano</t>
  </si>
  <si>
    <t>Engr. Joann Nogra</t>
  </si>
  <si>
    <t xml:space="preserve">Recommending Approval:                  </t>
  </si>
  <si>
    <t>Approved By:</t>
  </si>
  <si>
    <t xml:space="preserve">____________________                        </t>
  </si>
  <si>
    <t>ALBERTO ELMER L. GARDIOLA</t>
  </si>
  <si>
    <t>Pull Out Test</t>
  </si>
  <si>
    <t>TRAFFIC MANAGEMENT</t>
  </si>
  <si>
    <t>2023 COTABATO ROCK NETTING PROJECTS</t>
  </si>
  <si>
    <t>set/s</t>
  </si>
  <si>
    <t>Two-Way Radio with Charger</t>
  </si>
  <si>
    <t>JAYSON (BAOFENG)</t>
  </si>
  <si>
    <t xml:space="preserve"> Engr. Dennis Hernandez</t>
  </si>
  <si>
    <t xml:space="preserve">    Engr. Gerson Francisco</t>
  </si>
  <si>
    <t>JULOYA APARTMENT 0910-403-0191, 09097141135</t>
  </si>
  <si>
    <t>Site Facilities for PE of Cotabato Project</t>
  </si>
  <si>
    <t>23MO0006,0007, 0008, 0011, 0012 COTABATO ROCK NETTING PROJECTS</t>
  </si>
  <si>
    <t>Address: Alim St. Kidapawan City Proper North Cotabato</t>
  </si>
  <si>
    <t>PE. Abdul Gaffar Abbas (23MO0006, 0007, 0008)</t>
  </si>
  <si>
    <t>PE Bryan Magday (23MO0011, 0012)</t>
  </si>
  <si>
    <t xml:space="preserve">   Engr. Gerson Francisco</t>
  </si>
  <si>
    <t xml:space="preserve">  Engr. Dennis Hernandez</t>
  </si>
  <si>
    <t>MR. RENE BAYOCOT 0930-370-0559</t>
  </si>
  <si>
    <t>150 sq.m Vacant Lot Rental for Backhoe Parking</t>
  </si>
  <si>
    <t>23MO0007, 0008 COTABATO ROCK NETTING PROJECTS</t>
  </si>
  <si>
    <t>₱2,500/mo</t>
  </si>
  <si>
    <t>09303700559</t>
  </si>
  <si>
    <t>Address: Brgy. Greenhills, President Roxas, North Cotabato</t>
  </si>
  <si>
    <t>Rene Bayocot</t>
  </si>
  <si>
    <t xml:space="preserve">Lease for backhoe parking at id23MO-0007/08 </t>
  </si>
  <si>
    <t>SONNY NALAS (no CP)</t>
  </si>
  <si>
    <t>Employees Site Facilities - Ilomavis</t>
  </si>
  <si>
    <t>23MO0011, 0012 COTABATO ROCK NETTING PROJECTS</t>
  </si>
  <si>
    <t>Site Facilities Rental</t>
  </si>
  <si>
    <t>MRS. LUNINGNING CRUMPIDO</t>
  </si>
  <si>
    <t>COTABATO ROCK NETTING PROJECTS</t>
  </si>
  <si>
    <t>Payment for Rental of Office/Staff House</t>
  </si>
  <si>
    <t>Address: Purok II Poblacion, President Roxas, Cotabato</t>
  </si>
  <si>
    <t>Period Covered January 15, 2024 - February 14, 2024</t>
  </si>
  <si>
    <t>Period Covered January 18, 2024 - February 17, 2024</t>
  </si>
  <si>
    <t>Period Covered January 1-31, 2024</t>
  </si>
  <si>
    <t>Period Covered January 14, 2024 - February 13, 2024</t>
  </si>
  <si>
    <t xml:space="preserve">Payment for Site Facilities Rental of PE  </t>
  </si>
  <si>
    <t>Office / Staffhouse Rental AT Roxas Cotabato</t>
  </si>
  <si>
    <t>METRO KIDAPAWAN WATER DISTRICT</t>
  </si>
  <si>
    <t>Water Bill at Juloya Apartment</t>
  </si>
  <si>
    <t>Name: Juloya, Divina #5</t>
  </si>
  <si>
    <t>Address: Poblacion, Kidapawan City</t>
  </si>
  <si>
    <t>Acct No.: 05031100-0503</t>
  </si>
  <si>
    <t>Meter No.: 171326-08</t>
  </si>
  <si>
    <t>COTABATO ELECTRIC COOPERATIVE</t>
  </si>
  <si>
    <t>Electric Bill at Juloya Apartment</t>
  </si>
  <si>
    <t>Name: Juloya, Canuto</t>
  </si>
  <si>
    <t>Acct No.: 1010180151</t>
  </si>
  <si>
    <t>Meter No.: 322182</t>
  </si>
  <si>
    <t>Water Bill for the Month of December 2023</t>
  </si>
  <si>
    <t>Electric Bill for the Month of December 2023</t>
  </si>
  <si>
    <t>Name: Comfredo Freddie</t>
  </si>
  <si>
    <t>Address: Javier Subd, Roxas, Kidapawan</t>
  </si>
  <si>
    <t>Acct No.: 4545044350</t>
  </si>
  <si>
    <t>Meter No.: 230</t>
  </si>
  <si>
    <t>PRESIDENT ROXAS WATER WORKS SYSTEM</t>
  </si>
  <si>
    <t>STARTED JULY 15, 2023</t>
  </si>
  <si>
    <t>Meter Maintenance</t>
  </si>
  <si>
    <t>Crompido, Luningning</t>
  </si>
  <si>
    <t>Residential Acct No. 00000944</t>
  </si>
  <si>
    <t>Address: President Roxas, Kidapawan, Cotabato</t>
  </si>
  <si>
    <t>December WATER BILL Cotabato Staffhouse</t>
  </si>
  <si>
    <t>December Electric BILL Cotabato Staffhouse</t>
  </si>
  <si>
    <t>Pull Out Test  (427 Holes)</t>
  </si>
  <si>
    <t>23MO0006 COTABATO ROCK NETTING PROJECTS</t>
  </si>
  <si>
    <t>ALLIED MATERIAL TESTING LABORATORIES</t>
  </si>
  <si>
    <t>Mobilization</t>
  </si>
  <si>
    <t>Additional 12% VAT</t>
  </si>
  <si>
    <t>23MO0009 COTABATO ROCK NETTING PROJECTS</t>
  </si>
  <si>
    <t>Pull Out Test  (796 Holes)</t>
  </si>
  <si>
    <t>Pull Out Test  (812 Holes)</t>
  </si>
  <si>
    <t>23MO0010 COTABATO ROCK NETTING PROJECTS</t>
  </si>
  <si>
    <t>23MO0012 COTABATO ROCK NETTING PROJECTS</t>
  </si>
  <si>
    <t>Pull Out Test  (571 Holes)</t>
  </si>
  <si>
    <t>DCLA    (KEY: 0981-671-5026)</t>
  </si>
  <si>
    <t>PPE</t>
  </si>
  <si>
    <t>pair/s</t>
  </si>
  <si>
    <t>Rubberized Gloves</t>
  </si>
  <si>
    <t>Request for Materials Testing</t>
  </si>
  <si>
    <t>23MO0007 COTABATO ROCK NETTING PROJECTS</t>
  </si>
  <si>
    <t>Fine Aggregates</t>
  </si>
  <si>
    <t>Coarse Aggregates</t>
  </si>
  <si>
    <t>Cement</t>
  </si>
  <si>
    <t>RSB</t>
  </si>
  <si>
    <t>Metal Guardrail</t>
  </si>
  <si>
    <t>Metal Beam End Piece</t>
  </si>
  <si>
    <t>23MO0008 COTABATO ROCK NETTING PROJECTS</t>
  </si>
  <si>
    <t>Boulders</t>
  </si>
  <si>
    <t>JONARD SULTONES  0948-084-4696</t>
  </si>
  <si>
    <t>lot</t>
  </si>
  <si>
    <t>Bamboo Hut (smallest size)</t>
  </si>
  <si>
    <t>Delivery Charge</t>
  </si>
  <si>
    <t>Temporary Facility for Site Inspection</t>
  </si>
  <si>
    <t xml:space="preserve"> To be used for the temporary facility in the Ilomavis area when the DPWH Construction chief conducts a site inspection.</t>
  </si>
  <si>
    <t>January Electric BILL Cotabato Staffhouse</t>
  </si>
  <si>
    <t>Electric Bill for the Month of January 2024</t>
  </si>
  <si>
    <t>January WATER BILL Cotabato Staffhouse</t>
  </si>
  <si>
    <t>Water Bill for the Month of January 2024</t>
  </si>
  <si>
    <t>Electric Bill Cotabato Equipment Depot</t>
  </si>
  <si>
    <t>Name: Suliquin, Efren</t>
  </si>
  <si>
    <t>Acct No.: 4545050155</t>
  </si>
  <si>
    <t>Meter No.: 1301018287</t>
  </si>
  <si>
    <t>Less Php 500.00 for owners monthly consumption.</t>
  </si>
  <si>
    <t>NANDING'S LECHON MANOK &amp; BBQ</t>
  </si>
  <si>
    <t>Meals with DPWH Surveyor</t>
  </si>
  <si>
    <t>Meals w/ DPWH Surveyor - Dinner</t>
  </si>
  <si>
    <t>JACKY  -  0935-741-1906</t>
  </si>
  <si>
    <t>Materials for Fabrication of Hooper for GEOTUBE</t>
  </si>
  <si>
    <t>2024 COTABATO FLOOD CONTROL PROJECTS</t>
  </si>
  <si>
    <t>pc/s</t>
  </si>
  <si>
    <t>4'x8'x5mm MS Plate</t>
  </si>
  <si>
    <t>2"x2"x5mm Angular Bar</t>
  </si>
  <si>
    <t>PAGASA</t>
  </si>
  <si>
    <t>PAGASA Weather Forecast</t>
  </si>
  <si>
    <t>PAGASA Weather Forecast 23MO0007</t>
  </si>
  <si>
    <t>ID</t>
  </si>
  <si>
    <t>PAGASA Weather Forecast 23MO0008</t>
  </si>
  <si>
    <t>PAGASA Weather Forecast 23MO0009</t>
  </si>
  <si>
    <t>PAGASA Weather Forecast 23MO0010</t>
  </si>
  <si>
    <t>PAGASA Weather Forecast 23MO0011</t>
  </si>
  <si>
    <t>PAGASA Weather Forecast 23MO0012</t>
  </si>
  <si>
    <t>PAGASA Money Order</t>
  </si>
  <si>
    <t>L88 HARDWARE</t>
  </si>
  <si>
    <t>Materials Used for Grouting</t>
  </si>
  <si>
    <t>bg/s</t>
  </si>
  <si>
    <t>NOYLYN'S HARDWARE</t>
  </si>
  <si>
    <t>Pointed Shovel (all steel)</t>
  </si>
  <si>
    <t>Flat Shovel (all steel)</t>
  </si>
  <si>
    <t>Empty Container 20ltrs</t>
  </si>
  <si>
    <t>Materilas Used for Tapping for Water Source</t>
  </si>
  <si>
    <t>roll/s</t>
  </si>
  <si>
    <t>PE Hose 3/4 x 90m</t>
  </si>
  <si>
    <t>Plastic Female Elbow 3/4</t>
  </si>
  <si>
    <t>GI Nipple 3/4 x 5</t>
  </si>
  <si>
    <t>GI Coupling Red 3/4 x 1/2</t>
  </si>
  <si>
    <t>GI Nipple 1/2 x 2</t>
  </si>
  <si>
    <t>Brass Ball Valve 1/2</t>
  </si>
  <si>
    <t>GI Nipple 1x2</t>
  </si>
  <si>
    <t>GI Coupling Red 1 x 3/4</t>
  </si>
  <si>
    <t>Plastic Adaptor 3/4</t>
  </si>
  <si>
    <t>Laminated Sack (Black) 8ft</t>
  </si>
  <si>
    <t>Cover for drilling crew of 4DM; Traffic controllers and cement cover during rain.</t>
  </si>
  <si>
    <t>Laminated Sack for Cement Cover</t>
  </si>
  <si>
    <t>23MO0009, 0010 COTABATO ROCK NETTING PROJECTS</t>
  </si>
  <si>
    <t>23MO0009, 0012 COTABATO ROCK NETTING PROJECTS</t>
  </si>
  <si>
    <t>Empty Container 20ltrs (Heavy Duty)</t>
  </si>
  <si>
    <t>BINGBONG SNACK HOUSE</t>
  </si>
  <si>
    <t>Meals - Pull Out Testing</t>
  </si>
  <si>
    <t>Meals with DPWH for Pull Out Testing</t>
  </si>
  <si>
    <t>ALMA'S IHAW-IHAW &amp; LECHON MANOK</t>
  </si>
  <si>
    <t>EVC FURNITURE at MAKILALA NORTH COTABATO</t>
  </si>
  <si>
    <t>Furnitures</t>
  </si>
  <si>
    <t>Double Decker Bed (Single)</t>
  </si>
  <si>
    <t>As-Built Plan</t>
  </si>
  <si>
    <t>23MO0006, 0010, 0012 COTABATO ROCK NETTING PROJECTS</t>
  </si>
  <si>
    <t>As-Built Plan (23MO0006)</t>
  </si>
  <si>
    <t>As-Built Plan (23MO0010)</t>
  </si>
  <si>
    <t>As-Built Plan (23MO0012)</t>
  </si>
  <si>
    <t>CPY HARDWARE  -  0935-741-1906</t>
  </si>
  <si>
    <t>Materials for Fabrication of 3sets Hooper for GEOTUBE</t>
  </si>
  <si>
    <t>Period Covered February 18, 2024 - March 17, 2024</t>
  </si>
  <si>
    <t>Period Covered February 15, 2024 - March 14, 2024</t>
  </si>
  <si>
    <t>Period Covered February 1-29, 2024</t>
  </si>
  <si>
    <t>Period Covered February 14, 2024 - March 13, 2024</t>
  </si>
  <si>
    <t>MR. RANDY SALAZAR BRUNO</t>
  </si>
  <si>
    <t>23MO0009, 23MO0010 COTABATO ROCK NETTING PROJECTS</t>
  </si>
  <si>
    <t>Address: Mt. Sinaka, Arakan, North Cotabato</t>
  </si>
  <si>
    <t>Site facilities and Materials Depot Rental</t>
  </si>
  <si>
    <t>Period Covered January 8-February 7, 2024</t>
  </si>
  <si>
    <t>Period Covered February 8-March 7, 2024</t>
  </si>
  <si>
    <t>Fabrication of 4sets Hooper for GEOTUBE - LABOR</t>
  </si>
  <si>
    <t>job/s</t>
  </si>
  <si>
    <t>Fabrication of Hooper</t>
  </si>
  <si>
    <t>ENTING MACHINE SHOP</t>
  </si>
  <si>
    <t>DDIS</t>
  </si>
  <si>
    <t>For Installation of Perimeter Cable</t>
  </si>
  <si>
    <t>Cable Clamp 5/8 (23MO0009)</t>
  </si>
  <si>
    <t>Cable Clamp 5/8 (23MO0010)</t>
  </si>
  <si>
    <t>Cable Clamp 5/8 (23MO0011)</t>
  </si>
  <si>
    <t>Cable Clamp 5/8 (23MO0012)</t>
  </si>
  <si>
    <t>Cable Clamp 5/8 (23MO0006)</t>
  </si>
  <si>
    <t>JOHNREY BARRO</t>
  </si>
  <si>
    <t>Medical Expenses</t>
  </si>
  <si>
    <t>Please see attached Incident Report for reference.</t>
  </si>
  <si>
    <t>Medicines</t>
  </si>
  <si>
    <t>X-Ray</t>
  </si>
  <si>
    <t>Crutches</t>
  </si>
  <si>
    <t>Meals</t>
  </si>
  <si>
    <t>Cable Clamp 5/8 (23MO0007)</t>
  </si>
  <si>
    <t>Cable Clamp 5/8 (23MO0008)</t>
  </si>
  <si>
    <t>Cable Clamp Spare</t>
  </si>
  <si>
    <t>23MO0006, 0007, 0008, 0009, 0010, 0011, 0012 COTABATO ROCK NETTING PROJECTS</t>
  </si>
  <si>
    <t>ENGR. PETER DELCANO Project Inspector Engineer II</t>
  </si>
  <si>
    <t>Transportation Expense</t>
  </si>
  <si>
    <t>Transportation Expense for Project Inspection</t>
  </si>
  <si>
    <t>Transportation expense for conducting inspection. Please see attachment for reference.</t>
  </si>
  <si>
    <t>Paymet for Bonds</t>
  </si>
  <si>
    <t>23MO0007,  0009, 0010, 0011, 0012 COTABATO ROCK NETTING PROJECTS</t>
  </si>
  <si>
    <t>Bonds (23MO0007)</t>
  </si>
  <si>
    <t>Bonds (23MO0009)</t>
  </si>
  <si>
    <t>Bonds (23MO0010)</t>
  </si>
  <si>
    <t>Bonds (23MO0011)</t>
  </si>
  <si>
    <t>Bonds (23MO0012)</t>
  </si>
  <si>
    <t>TRAVELLERS INSURANCE SURETY CORPORATION</t>
  </si>
  <si>
    <t>TABEB'S KAMBINGAN</t>
  </si>
  <si>
    <t>Meals  with DPWH Personnel</t>
  </si>
  <si>
    <t>Meals - Border Rope Installation Inspection</t>
  </si>
  <si>
    <t>Electric Bill for the Month of February 2024</t>
  </si>
  <si>
    <t>February WATER BILL Cotabato Staffhouse</t>
  </si>
  <si>
    <t>Water Bill for the Month of February 2024</t>
  </si>
  <si>
    <t>February Electric BILL Cotabato Staffhouse</t>
  </si>
  <si>
    <t>JENELYN B. GREGORIO 0946-280-0404</t>
  </si>
  <si>
    <t>Office / Staffhouse Rental at Roxas Cotabato</t>
  </si>
  <si>
    <t>Address: Arca St. Purok 5, Pob. Pres. Roxas Cotabato</t>
  </si>
  <si>
    <t>1 Month Advance</t>
  </si>
  <si>
    <t>1 Month Deposit</t>
  </si>
  <si>
    <t>Processing of Documents</t>
  </si>
  <si>
    <t>24MC0045 COTABATO FLOOD CONTROL PROJECTS</t>
  </si>
  <si>
    <t>-PERT CPM/PDM</t>
  </si>
  <si>
    <t>-Manpower Schedule</t>
  </si>
  <si>
    <t>-Equipment Utilization Schedule</t>
  </si>
  <si>
    <t>-Construction Method</t>
  </si>
  <si>
    <t>Notarized</t>
  </si>
  <si>
    <t>Period Covered March 14 - April 13, 2024</t>
  </si>
  <si>
    <t>Period Covered March 15 - April 14, 2024</t>
  </si>
  <si>
    <t>Period Covered March 1-31, 2024</t>
  </si>
  <si>
    <t>Period Covered March 8-April 7, 2024</t>
  </si>
  <si>
    <t>Address: Ilomavis, Kidapawan City, North Cotabato</t>
  </si>
  <si>
    <t>24MC0042 COTABATO FLOOD CONTROL PROJECTS</t>
  </si>
  <si>
    <t>ØØ</t>
  </si>
  <si>
    <t>RSB Requirements for Pile Cap</t>
  </si>
  <si>
    <t xml:space="preserve">      Engr. Renato Arenas</t>
  </si>
  <si>
    <t>RSB Requirements for Revetment Wall</t>
  </si>
  <si>
    <t>Transverse Bars and Longitudinal Bars.</t>
  </si>
  <si>
    <t>24MC0074 COTABATO FLOOD CONTROL PROJECTS</t>
  </si>
  <si>
    <t>RSB Ø16 x 9 - (Grade 60)</t>
  </si>
  <si>
    <t>RSB Ø12 x 7.5 - (Grade 40)</t>
  </si>
  <si>
    <t>kg/s</t>
  </si>
  <si>
    <t>Tie Wire #16</t>
  </si>
  <si>
    <t>24MC0075 COTABATO FLOOD CONTROL PROJECTS</t>
  </si>
  <si>
    <t>RSB Ø16 x 6.0 m - (Grade 60)</t>
  </si>
  <si>
    <t>RSB Ø12 x 6.0 m  - (Grade 40)</t>
  </si>
  <si>
    <t>RSB Ø16 x 9.0m - (Grade 60)</t>
  </si>
  <si>
    <t>RSB Ø12 x 7.5m  - (Grade 40)</t>
  </si>
  <si>
    <t>24MC0076 COTABATO FLOOD CONTROL PROJECTS</t>
  </si>
  <si>
    <t>Electric Bill for the Month of March 2024</t>
  </si>
  <si>
    <t>Elastic Bandage</t>
  </si>
  <si>
    <t>Consultation Fee</t>
  </si>
  <si>
    <t>Electric Bill at Juloya Apartment February 2024</t>
  </si>
  <si>
    <t>COTABATO ELECTRIC COOPERATIVE, INC.</t>
  </si>
  <si>
    <t>Materials  Used for Stone Masonry</t>
  </si>
  <si>
    <t>24MO0007 COTABATO ROCK NETTING PROJECTS</t>
  </si>
  <si>
    <t>cu.m</t>
  </si>
  <si>
    <t>PVC Pipe 100mm</t>
  </si>
  <si>
    <t>Nylon 0.5mm</t>
  </si>
  <si>
    <t>ANJ SAND AND GRAVEL (Arnel Antipuesto - 09462343500)</t>
  </si>
  <si>
    <t>Washed Sand</t>
  </si>
  <si>
    <t>Materials for Barracks</t>
  </si>
  <si>
    <t xml:space="preserve">       Engr. Nilo Arenas</t>
  </si>
  <si>
    <t>24MO0074, 24MO0075 COTABATO FLOOD CONTROL PROJECTS</t>
  </si>
  <si>
    <t>Coco Lumber 2x3x12</t>
  </si>
  <si>
    <t>Corrugated GI Sheet #31 12ft. - (Roof)</t>
  </si>
  <si>
    <t>Corrugated GI Sheet #31 6ft. -  (CR)</t>
  </si>
  <si>
    <t>Coco Lumber 2x4x12</t>
  </si>
  <si>
    <t>Coco Lumber 2x2x12</t>
  </si>
  <si>
    <t>Coco Lumber 4x4x10</t>
  </si>
  <si>
    <t>Sawali (Plywood Size) - Wall</t>
  </si>
  <si>
    <t>Coco Lumber 2x3x10</t>
  </si>
  <si>
    <t>Coco Lumber 2x2x10</t>
  </si>
  <si>
    <t>Plywood 1/2x4x8  (Beddings)</t>
  </si>
  <si>
    <t>Umbrella Nails #3</t>
  </si>
  <si>
    <t>CWN #4</t>
  </si>
  <si>
    <t>CWN #3</t>
  </si>
  <si>
    <t>CWN #2</t>
  </si>
  <si>
    <t>CHB #4 (Septic Tank)</t>
  </si>
  <si>
    <t>Cement 40kg</t>
  </si>
  <si>
    <t>10mmØ x 6m</t>
  </si>
  <si>
    <t>Toilet Bowl</t>
  </si>
  <si>
    <t>Hinge 2x3</t>
  </si>
  <si>
    <t>Shovel</t>
  </si>
  <si>
    <t>20mtrs Level Hose</t>
  </si>
  <si>
    <t>NKH MEGA GAS MARKETING</t>
  </si>
  <si>
    <t>for Cutting Outfit</t>
  </si>
  <si>
    <t>tank</t>
  </si>
  <si>
    <t>LPG with Gass Content</t>
  </si>
  <si>
    <t>Oxygen with Oxygen Content</t>
  </si>
  <si>
    <t>Adaptor</t>
  </si>
  <si>
    <t>8,500(deposit) tank w/ oxygen content(1 time only) consumable within 17months, another payment of 500 per month after 17months.</t>
  </si>
  <si>
    <t xml:space="preserve">             Javar Cosain</t>
  </si>
  <si>
    <t>24MO0076, 24MC0042 COTABATO FLOOD CONTROL PROJECTS</t>
  </si>
  <si>
    <t>MR. ROLANDO D. SULIGUIN</t>
  </si>
  <si>
    <t>Payment for Rental of Warehouse/Equipment Yard</t>
  </si>
  <si>
    <t>Period Covered April 17-May 16, 2024</t>
  </si>
  <si>
    <t>Period Covered May 17-June 16, 2024</t>
  </si>
  <si>
    <t>Period Covered June 17-July 16, 2024</t>
  </si>
  <si>
    <t>Period Covered July 17-August 16, 2024</t>
  </si>
  <si>
    <t>Period Covered August 17-September 16, 2024</t>
  </si>
  <si>
    <t>Period Covered September 17-October 16, 2024</t>
  </si>
  <si>
    <t>Equipment Yard / Warehouse Rental - Cotabato</t>
  </si>
  <si>
    <t>Period Covered April 14 - May 13, 2024</t>
  </si>
  <si>
    <t>Period Covered April 15 - May 14, 2024</t>
  </si>
  <si>
    <t>Period Covered April 1-30, 2024</t>
  </si>
  <si>
    <t>Period Covered April 8-May 7, 2024</t>
  </si>
  <si>
    <t>Mrs. Ester Tingson</t>
  </si>
  <si>
    <t>100 sq.m Vacant Lot Rental for Temporary Site Facilities</t>
  </si>
  <si>
    <t>Address: Paco Roxas Arakan, Poblacion President Roxas Cotabato</t>
  </si>
  <si>
    <t>Period Covered April 15-May 14, 2024</t>
  </si>
  <si>
    <t>Processing of Documents - HGG</t>
  </si>
  <si>
    <t>24MC0047 COTABATO FLOOD CONTROL PROJECTS</t>
  </si>
  <si>
    <t>Authority of Signing Official</t>
  </si>
  <si>
    <t xml:space="preserve">PERT CPM/PDM </t>
  </si>
  <si>
    <t>DOLE Preparation</t>
  </si>
  <si>
    <t>SO3</t>
  </si>
  <si>
    <t>1st Aider</t>
  </si>
  <si>
    <t>SOP</t>
  </si>
  <si>
    <t>Materials Used for Stone Masonry</t>
  </si>
  <si>
    <t>Nylon Rope 2mm</t>
  </si>
  <si>
    <t>Common Nail 4"</t>
  </si>
  <si>
    <t>Common Nail 3"</t>
  </si>
  <si>
    <t>Additional materials used for stone masonry.</t>
  </si>
  <si>
    <t>JEZRYL DE VERA</t>
  </si>
  <si>
    <t>Payment for Notary</t>
  </si>
  <si>
    <t>24MC0027, 0028, 0043, 0047, 0048 COTABATO FLOOD CONTROL PROJECTS</t>
  </si>
  <si>
    <t>Notary (24MC0027)</t>
  </si>
  <si>
    <t>Notary (24MC0028)</t>
  </si>
  <si>
    <t>Notary (24MC0043)</t>
  </si>
  <si>
    <t>Notary (24MC0047)</t>
  </si>
  <si>
    <t>Notary (24MC0048)</t>
  </si>
  <si>
    <t>Electric Bill at Juloya Apartment March 2024</t>
  </si>
  <si>
    <t>Water Bill for the Month of April 2024</t>
  </si>
  <si>
    <t>Water Bill for the Month of March 2024</t>
  </si>
  <si>
    <t>Water Bill at Juloya Apartment March &amp; April 2024</t>
  </si>
  <si>
    <t>ZE PERSONAL PROTECTIVE EQUIPMENT TRADING 09816715026</t>
  </si>
  <si>
    <t>Request for Inspectorate Team</t>
  </si>
  <si>
    <t>Construction</t>
  </si>
  <si>
    <t>Materials</t>
  </si>
  <si>
    <t>Maintenance</t>
  </si>
  <si>
    <t>Planning</t>
  </si>
  <si>
    <t>ARD</t>
  </si>
  <si>
    <t>COA</t>
  </si>
  <si>
    <t>District</t>
  </si>
  <si>
    <t>23MO0011 COTABATO ROCK NETTING PROJECTS</t>
  </si>
  <si>
    <t>Request for CPES and QAU Inspection</t>
  </si>
  <si>
    <t>CPES and QAU Inspection</t>
  </si>
  <si>
    <t>Empty Steel Drum (200ltrs)</t>
  </si>
  <si>
    <t xml:space="preserve">For Construction Used </t>
  </si>
  <si>
    <t>24MO0042, 0074, 0075, 0076 COTABATO FLOOD CONTROL PROJECTS</t>
  </si>
  <si>
    <t xml:space="preserve">   Engr. Dennis Hernandez</t>
  </si>
  <si>
    <t xml:space="preserve">for Construction Used </t>
  </si>
  <si>
    <t xml:space="preserve">3J GOLDEN DRAGON INDUSTRIAL MACHINERY CORPORATION </t>
  </si>
  <si>
    <t>pc</t>
  </si>
  <si>
    <t>Welding Cable 2.0x25m</t>
  </si>
  <si>
    <t>Jackson Electrode Welding Holder 500A Capacity</t>
  </si>
  <si>
    <t>Welding Gloves</t>
  </si>
  <si>
    <t>pairs</t>
  </si>
  <si>
    <t xml:space="preserve">Welding Mask </t>
  </si>
  <si>
    <t>pcs</t>
  </si>
  <si>
    <t>Welding Glass Clear</t>
  </si>
  <si>
    <t xml:space="preserve">Welding Glass Dark </t>
  </si>
  <si>
    <t>box</t>
  </si>
  <si>
    <t>7018 Welding Rod 1/8</t>
  </si>
  <si>
    <t xml:space="preserve">6013x1/8 Welding Rod </t>
  </si>
  <si>
    <t xml:space="preserve"> Stone Masonry</t>
  </si>
  <si>
    <t xml:space="preserve">Labor Works </t>
  </si>
  <si>
    <t>Stone Masonry</t>
  </si>
  <si>
    <t>10% retention</t>
  </si>
  <si>
    <t>Stoneworks - Labor</t>
  </si>
  <si>
    <t xml:space="preserve">   Engr. Gerson Francisco </t>
  </si>
  <si>
    <t xml:space="preserve">     100m. X 2.77 (effective area per linear meter)</t>
  </si>
  <si>
    <t>Meals -w/ DPWH Inspector (QAU&amp;CPES)</t>
  </si>
  <si>
    <t>Payment for Re-Survey</t>
  </si>
  <si>
    <t>on ICR based on actual site condition</t>
  </si>
  <si>
    <t xml:space="preserve"> To adjust/increase the excavation volume </t>
  </si>
  <si>
    <t>23MO0007 &amp; 008 COTABATO ROCK NETTING PROJECTS</t>
  </si>
  <si>
    <t xml:space="preserve">Payment for Land Owner Request of Access Road </t>
  </si>
  <si>
    <t>To purchase cyclone wire in lieu of the request of the</t>
  </si>
  <si>
    <t xml:space="preserve">land owner of ID 007 to construct an access road from </t>
  </si>
  <si>
    <t xml:space="preserve">the existing road to the top of the hill of about </t>
  </si>
  <si>
    <t xml:space="preserve">100m. in length </t>
  </si>
  <si>
    <t xml:space="preserve">     40m. X 1.23sq.m (effective area per linear meter</t>
  </si>
  <si>
    <t>below 5.00m. Height)</t>
  </si>
  <si>
    <t xml:space="preserve">     40m. X 5.03sq.m (effective area per linear meter</t>
  </si>
  <si>
    <t xml:space="preserve">above 5.00m. Height) </t>
  </si>
  <si>
    <t>SAPPHIRE HARDWARE 09166088800</t>
  </si>
  <si>
    <t>For Fabrication and Welding of Sheet Pile</t>
  </si>
  <si>
    <t>mtrs</t>
  </si>
  <si>
    <t>Stranded Wire #10</t>
  </si>
  <si>
    <t>Electrical Tape Big</t>
  </si>
  <si>
    <t>As-Built Plan (23MO0007)</t>
  </si>
  <si>
    <t>As-Built Plan (23MO0008)</t>
  </si>
  <si>
    <t>Request Materials</t>
  </si>
  <si>
    <t xml:space="preserve">rolls </t>
  </si>
  <si>
    <t>Bio Black HD PE Commercial Pipe 1/2 (20mm) x 90m</t>
  </si>
  <si>
    <t>Royu THHN/THWN 7 stranded wire 150m gauge #14</t>
  </si>
  <si>
    <t>Red and Black</t>
  </si>
  <si>
    <t>PVC waterline Pipe Blue  1/2(20mm) x 6</t>
  </si>
  <si>
    <t xml:space="preserve">to be use for Utilities only </t>
  </si>
  <si>
    <t xml:space="preserve">Confirm thru Call </t>
  </si>
  <si>
    <t xml:space="preserve">   Engr. Javar Cosain</t>
  </si>
  <si>
    <t xml:space="preserve">     60m. X 1.23sq.m (effective area per linear meter</t>
  </si>
  <si>
    <t xml:space="preserve">     60. X 5.03sq.m (effective area per linear meter</t>
  </si>
  <si>
    <t>23MO0007, 008, 009 COTABATO ROCK NETTING PROJECTS</t>
  </si>
  <si>
    <t>bags</t>
  </si>
  <si>
    <t>Fine Sand</t>
  </si>
  <si>
    <t>Empty Container 20ltrs( Heavy Duty)</t>
  </si>
  <si>
    <t xml:space="preserve">For Grouting </t>
  </si>
  <si>
    <t xml:space="preserve">DPWH Inspection </t>
  </si>
  <si>
    <t xml:space="preserve">ALMA'S IHAW IHAW &amp; LECHON MANOK </t>
  </si>
  <si>
    <t xml:space="preserve">Meals with DPWH Inspector </t>
  </si>
  <si>
    <t>PEPHANG'S CUISINE</t>
  </si>
  <si>
    <t xml:space="preserve">Meals with DPWH Inspector (Pull Out Test) </t>
  </si>
  <si>
    <t>23MC0011 COTABATO ROCKT NETTING PROJECTS</t>
  </si>
  <si>
    <t xml:space="preserve">Additional Materials for barracks </t>
  </si>
  <si>
    <t>Coco Lumber 2x3x8</t>
  </si>
  <si>
    <t>Cocol Lumber 2x2x8</t>
  </si>
  <si>
    <t>Plywood 1/2"x4'x8</t>
  </si>
  <si>
    <t>roll</t>
  </si>
  <si>
    <t>Bio Black HDPE Commercial Pipe 1/2(20mm)x 90meters</t>
  </si>
  <si>
    <t>Royu THHN/THWN 7 stranded wire 150m gauge</t>
  </si>
  <si>
    <t>(AWG) #14 (Red and Black)</t>
  </si>
  <si>
    <t>PVC waterline pipe Blue 1/2(20mm) x6 meters</t>
  </si>
  <si>
    <t xml:space="preserve">U-type Steel  Sheet Pile 400x125 (60kg/m) </t>
  </si>
  <si>
    <t xml:space="preserve">      Engr. Dennis Hernandez</t>
  </si>
  <si>
    <t>Materials for Sheet Pile</t>
  </si>
  <si>
    <t>RSB Ø12 x 7.5 (Grade 40)</t>
  </si>
  <si>
    <t xml:space="preserve">RSB Ø12 x 9.0 (Grade 40) </t>
  </si>
  <si>
    <t>RSB Ø12 x 6.0m (Grade 40)</t>
  </si>
  <si>
    <t>RSB Ø12 x 6 (Grade 40)</t>
  </si>
  <si>
    <t>RSB Ø12 x 10.5 (Grade 40)</t>
  </si>
  <si>
    <t>RSB Ø12 x 9.0 (Grade 40)</t>
  </si>
  <si>
    <t>RSB Ø16 x 9 (Grade 60)</t>
  </si>
  <si>
    <t>RSB Ø16 x 7.5 (Grade 60)</t>
  </si>
  <si>
    <t>RSB Ø10 x 6 (Grade 40)</t>
  </si>
  <si>
    <t xml:space="preserve">Under the table Negotiation of PENRO </t>
  </si>
  <si>
    <t xml:space="preserve">Boarders (800cu.m X 50 per cu.m) </t>
  </si>
  <si>
    <t>set</t>
  </si>
  <si>
    <t xml:space="preserve">Processing fee for the request of Final inspection </t>
  </si>
  <si>
    <t xml:space="preserve">of ID's 23MO006, 07, 08, 09, 010, 011 and 012 </t>
  </si>
  <si>
    <t xml:space="preserve">Additional Request for Sheet Pile </t>
  </si>
  <si>
    <t>Request Payment</t>
  </si>
  <si>
    <t>RSI SURVEYING INSTRUMENTS 09495766583</t>
  </si>
  <si>
    <t>Canon Automatic Level (TOPCON)</t>
  </si>
  <si>
    <t>Model ATB4</t>
  </si>
  <si>
    <t>1-Main Unit ATB4</t>
  </si>
  <si>
    <t>1- Carrying Case</t>
  </si>
  <si>
    <t>1- Operating Manual</t>
  </si>
  <si>
    <t>1- Aluminum Stadia Rod</t>
  </si>
  <si>
    <t>1- Aluminum Tripod</t>
  </si>
  <si>
    <t>1- Calibration Certificate</t>
  </si>
  <si>
    <t>Complete with:</t>
  </si>
  <si>
    <t>kls</t>
  </si>
  <si>
    <t>Coco Nail 3"</t>
  </si>
  <si>
    <t>kl</t>
  </si>
  <si>
    <t>Common Nail 2"</t>
  </si>
  <si>
    <t>Materials Used for Barracks</t>
  </si>
  <si>
    <t>Amakan 4"x8"</t>
  </si>
  <si>
    <t>Amakan 4"x8" (w/ ventilation design)</t>
  </si>
  <si>
    <t>Amakan 1"x2"</t>
  </si>
  <si>
    <t>sets</t>
  </si>
  <si>
    <t>kg</t>
  </si>
  <si>
    <t>Common Nail 1 1/2"</t>
  </si>
  <si>
    <t>Hinge 2x3"</t>
  </si>
  <si>
    <t>Barrel Bolt 4"</t>
  </si>
  <si>
    <t xml:space="preserve">   Engr. Javar Cosain </t>
  </si>
  <si>
    <t>_Confirm thru call ___</t>
  </si>
  <si>
    <t>Coco Lumber 2"x3"x12'</t>
  </si>
  <si>
    <t>Coco Lumber 2"x2"x12'</t>
  </si>
  <si>
    <t>Coco Lumber 4"x4"x12'</t>
  </si>
  <si>
    <t>Coco Lumber 2"x4"x12'</t>
  </si>
  <si>
    <t>Umbrella (roof) Nail 2 1/2"</t>
  </si>
  <si>
    <t>Corrugated G.I Sheet 12', Ga. 24</t>
  </si>
  <si>
    <t>Vulca Seal</t>
  </si>
  <si>
    <t>can</t>
  </si>
  <si>
    <t>Water Closet/ Toilet Bowl</t>
  </si>
  <si>
    <t>CHB 4"</t>
  </si>
  <si>
    <t>Sanitary PVC Elbow 3"</t>
  </si>
  <si>
    <t>Sanitary PVC Pipe 3"</t>
  </si>
  <si>
    <t>Sanitary PVC Elbow 2"</t>
  </si>
  <si>
    <t>Marine Plywood 1/2x4x8</t>
  </si>
  <si>
    <t>Bio Black HDPE Pipe 1/2</t>
  </si>
  <si>
    <t>Plastic Female Elbow 1/2</t>
  </si>
  <si>
    <t>Plastic Faucet 1/2</t>
  </si>
  <si>
    <t>Plastic Adaptor 1/2</t>
  </si>
  <si>
    <t xml:space="preserve">2.0 mm2 THHN/THWN Stranded Wire </t>
  </si>
  <si>
    <t>24MO0076, 23MO00042  COTABATO FLOOD CONTROL PROJECTS</t>
  </si>
  <si>
    <t>Barracks to Accommodate fourty five workers</t>
  </si>
  <si>
    <t xml:space="preserve">Rubber Male Plug </t>
  </si>
  <si>
    <t xml:space="preserve">Extension Outlet 4-gang </t>
  </si>
  <si>
    <t xml:space="preserve">Receptacle 4x4 </t>
  </si>
  <si>
    <t>12-watts  LED Energy Saving Bulb</t>
  </si>
  <si>
    <t xml:space="preserve">Electrical Tape (Big) </t>
  </si>
  <si>
    <t>REGAN INDUSTRIAL SALES, INC.</t>
  </si>
  <si>
    <t>23MO0076 COTABATO FLOOD CONTROL PROJECTS</t>
  </si>
  <si>
    <t xml:space="preserve">Z-Type Sheet Pile 770x344.5x9.5MMx79.9kgs/Mx12M </t>
  </si>
  <si>
    <t xml:space="preserve">Z-Type Sheet Pile 770x344.5x9.5MMx79.9KGS/Mx12M </t>
  </si>
  <si>
    <t xml:space="preserve">Z-Type Sheet Pile 770x344.5x9.5MMx79.6kgs/Mx12M </t>
  </si>
  <si>
    <t>24MO0075 COTABATO FLOOD CONTROL PROJECTS</t>
  </si>
  <si>
    <t>24MO0076 COTABATO FLOOD CONTROL PROJECTS</t>
  </si>
  <si>
    <t xml:space="preserve">U-Type Sheet Pile 400x100x10.5MMx48kgs/Mx12M </t>
  </si>
  <si>
    <t>Estimated 1month consumption for cutting outfit. 4tank Oxygen : 1tank LPG per set.</t>
  </si>
  <si>
    <t xml:space="preserve">____NOTED THRU CALL_____         </t>
  </si>
  <si>
    <t xml:space="preserve">         Engr. Javar Cosain</t>
  </si>
  <si>
    <t>for Cutting Outfit of Sheet Piles</t>
  </si>
  <si>
    <t>LPG (Refill)</t>
  </si>
  <si>
    <t>Oxygen (Refill)</t>
  </si>
  <si>
    <t>Period Covered May 15 - June 14, 2024</t>
  </si>
  <si>
    <t>Site facilities and Materials Depot Rental - Arakan</t>
  </si>
  <si>
    <t>Period Covered May 15-June 14, 2024</t>
  </si>
  <si>
    <t>mtr/s</t>
  </si>
  <si>
    <t>Welding Cable 2.0</t>
  </si>
  <si>
    <t xml:space="preserve">Additional Welding Cable for Construction Used </t>
  </si>
  <si>
    <t>Request for Payables for Newly Awarded</t>
  </si>
  <si>
    <t>PDM</t>
  </si>
  <si>
    <t>Blueprint</t>
  </si>
  <si>
    <t>DOLE Prep Docs</t>
  </si>
  <si>
    <t>SOP to DOLE Personnel</t>
  </si>
  <si>
    <t>Travel Expense to Kidapawan</t>
  </si>
  <si>
    <t>HERMELYN LUMBOS  0917-854-6568</t>
  </si>
  <si>
    <t>CITI HARDWARE - DAVAO</t>
  </si>
  <si>
    <t>for use by welders working at night</t>
  </si>
  <si>
    <t>For Use of Welders Working at Night</t>
  </si>
  <si>
    <t>Weatherproof Flood Lamp (Heavy Duty)</t>
  </si>
  <si>
    <t>Anj Sand and Gravel</t>
  </si>
  <si>
    <t>24MO0007, 0008 COTABATO ROCK NETTING PROJECTS</t>
  </si>
  <si>
    <t>Materials  Used for Grouting</t>
  </si>
  <si>
    <t>Cement Used for Stone Masonry</t>
  </si>
  <si>
    <t>24MO0074, 0076 COTABATO FLOOD CONTROL PROJECTS</t>
  </si>
  <si>
    <t>Request for Payables for Newly Awarded Project</t>
  </si>
  <si>
    <t xml:space="preserve">   Engr. Librado Lastimoso</t>
  </si>
  <si>
    <t>24MO0008 COTABATO ROCK NETTING PROJECTS</t>
  </si>
  <si>
    <t>Materials  Used for Stone Masonry Additional Station</t>
  </si>
  <si>
    <t>240 request ni engr kaso may naiwan pa dun sa l88 na bayad na</t>
  </si>
  <si>
    <t>Partial Request</t>
  </si>
  <si>
    <t>Additional Materials  Used for Stone Masonry Additional Station</t>
  </si>
  <si>
    <t>Stone Masonry (Above 5.00m. Height)</t>
  </si>
  <si>
    <t>Stone Masonry (Below 5.00m. Height)</t>
  </si>
  <si>
    <t>Please see attached back up computation.</t>
  </si>
  <si>
    <t>Period Covered May 6-12, 2024</t>
  </si>
  <si>
    <t>A and J Hollowblocks Manufacturing</t>
  </si>
  <si>
    <t>ESTHER ANCHETA     0948-592-8792</t>
  </si>
  <si>
    <t>May 3 nag start</t>
  </si>
  <si>
    <t>Address: Javier Subdivision, Purok-2, Poblacion</t>
  </si>
  <si>
    <t>President Roxas, Cotabato</t>
  </si>
  <si>
    <t>Period Covered May 1-31, 2024</t>
  </si>
  <si>
    <t>Period Covered June 1-30, 2024</t>
  </si>
  <si>
    <t>Site Facilities Rental for PE of Cotabato Project</t>
  </si>
  <si>
    <t>24MO0074, 0075 FLOOD CONTROL PROJECTS</t>
  </si>
  <si>
    <t>24MO0074, 0075 COTABATO FLOOD CONTROL PROJECTS</t>
  </si>
  <si>
    <t>Fabrication of Reinforcing Bars (Exterior Support &amp; Roofing)</t>
  </si>
  <si>
    <t>Coco Lumber 4x4x12</t>
  </si>
  <si>
    <t>Umbrella Nail 2 1/2</t>
  </si>
  <si>
    <t>Corrugated G.I Sheet 12' GA. 24</t>
  </si>
  <si>
    <t>Vulca Seal (1/4)</t>
  </si>
  <si>
    <t>Electric Bill Cotabato Equipment Depot April &amp; May 2024</t>
  </si>
  <si>
    <t>Electric Bill for the Month of April  2024</t>
  </si>
  <si>
    <t>Electric Bill for the Month of May 2024</t>
  </si>
  <si>
    <t>.</t>
  </si>
  <si>
    <t>LUCKY 28 TRAPAL</t>
  </si>
  <si>
    <t>Maruyama Flex for Cement Cover</t>
  </si>
  <si>
    <t>Payment for PMRB - President Roxas Cotabato</t>
  </si>
  <si>
    <t>Phenolic Plywood 3/4</t>
  </si>
  <si>
    <t>Good Lumber 2x3x8</t>
  </si>
  <si>
    <t>for Structural Concrete Class (A) - 170 cu.m Pile Cap</t>
  </si>
  <si>
    <t xml:space="preserve">       Engr. Renato Arenas</t>
  </si>
  <si>
    <t xml:space="preserve"> 6m x 20m Maruyama Flex S-200 Thickness </t>
  </si>
  <si>
    <t>Gravel (3/4)</t>
  </si>
  <si>
    <t>tie wire</t>
  </si>
  <si>
    <t>cement</t>
  </si>
  <si>
    <t>sand</t>
  </si>
  <si>
    <t>gravel</t>
  </si>
  <si>
    <t>phenolic</t>
  </si>
  <si>
    <t>lumber</t>
  </si>
  <si>
    <t>nails</t>
  </si>
  <si>
    <t>Revetment Wall Class A - 3497 cu.m.</t>
  </si>
  <si>
    <t>Phenolic Plywood 1/2</t>
  </si>
  <si>
    <t>Good Lumber 2x3x10</t>
  </si>
  <si>
    <t>30% Partial Request.</t>
  </si>
  <si>
    <t>30% Partial Request for Revetment Wall Class A - 3497 cu.m.</t>
  </si>
  <si>
    <t>t-bg/s</t>
  </si>
  <si>
    <t>Type-1 Megga Cement</t>
  </si>
  <si>
    <t>ZVR HARDWARE AND CONSTRUCTION SUPPLY 09952353060</t>
  </si>
  <si>
    <t>Please see attachment for reference.</t>
  </si>
  <si>
    <t>for Billboard Frame Lamination</t>
  </si>
  <si>
    <t>24MO0074, 0075, 0076 COTABATO FLOOD CONTROL PROJECTS</t>
  </si>
  <si>
    <t>2x2x8 Coco Lumber</t>
  </si>
  <si>
    <t>2x3x12 Coco Lumber</t>
  </si>
  <si>
    <t>OCTAGON - SM LANANG DAVAO</t>
  </si>
  <si>
    <t>for Printing of Documents</t>
  </si>
  <si>
    <t>unit/s</t>
  </si>
  <si>
    <t>Ecotank Printer EPSON L121</t>
  </si>
  <si>
    <t>ISO 24734, A4 Simplex (Black / Colour):
Up to 9.0 ipm / 4.8 ipm*1</t>
  </si>
  <si>
    <t>Dimensions (W x D x H):
461 x 215 x 130 mm</t>
  </si>
  <si>
    <t>ACE HARDWARE - SM LANANG DAVAO</t>
  </si>
  <si>
    <t>Pioneer Pro Concrete Epoxy (H.V)</t>
  </si>
  <si>
    <t>Concrete Epoxy - Dowel Bar Embedment</t>
  </si>
  <si>
    <t>ECV OFFICE SUPPLIES WAREHOUSE, INC. 0967-316-8724</t>
  </si>
  <si>
    <t>Office Supplies</t>
  </si>
  <si>
    <t>rm/s</t>
  </si>
  <si>
    <t>Bond Paper A4</t>
  </si>
  <si>
    <t>Expandable Envelope Long</t>
  </si>
  <si>
    <t>bx/s</t>
  </si>
  <si>
    <t>Binder Clip 2"</t>
  </si>
  <si>
    <t>Correction Tape</t>
  </si>
  <si>
    <t>Long White Folder</t>
  </si>
  <si>
    <t>Paper Clip (Jumbo)</t>
  </si>
  <si>
    <t>Ballpen</t>
  </si>
  <si>
    <t>File Organizer (3layer)</t>
  </si>
  <si>
    <t>Long Brown Envelope</t>
  </si>
  <si>
    <t>Highlighter Stabelo (Green)</t>
  </si>
  <si>
    <t>Period Covered June 15 - JuLy 14, 2024</t>
  </si>
  <si>
    <t>Period Covered June 15-July 14, 2024</t>
  </si>
  <si>
    <t>Nestor Sedo</t>
  </si>
  <si>
    <t>Payment for Hauling of Embankment</t>
  </si>
  <si>
    <t>T/L</t>
  </si>
  <si>
    <t>Embankment</t>
  </si>
  <si>
    <t>Ruel Bengil</t>
  </si>
  <si>
    <t>23MO0075 COTABATO FLOOD CONTROL PROJECTS</t>
  </si>
  <si>
    <t>Scan (CT Cranial Plain)</t>
  </si>
  <si>
    <t>2000 PARTIAL GIVEN</t>
  </si>
  <si>
    <t>Blood Test (Trop High Sensitive)</t>
  </si>
  <si>
    <t xml:space="preserve">Medicines </t>
  </si>
  <si>
    <t>Hospital Charge</t>
  </si>
  <si>
    <t>PAGASA Weather Forecast - January &amp; February 2024</t>
  </si>
  <si>
    <t>100 sq.m Vacant Lot Rental for Backhoe Parking</t>
  </si>
  <si>
    <t>Payment for Final Variation Order</t>
  </si>
  <si>
    <t>Processing Fee</t>
  </si>
  <si>
    <t>Preparation of Documents</t>
  </si>
  <si>
    <t>Inspectorate Team</t>
  </si>
  <si>
    <t>PC EXPRESS - SM LANANG   0917-633-6006</t>
  </si>
  <si>
    <t>For Computer Unit Repair - Kimberly Larawan</t>
  </si>
  <si>
    <t>For Computer Unit Repair and Flashdrive for back-up purposes of documents.</t>
  </si>
  <si>
    <t>HIKSEMI 512GB E100 CITY SATA III 6GB/S 2.5"</t>
  </si>
  <si>
    <t>R/W UP TO 550MBS SOLID STATE DRIVE</t>
  </si>
  <si>
    <t>Payment for Installation</t>
  </si>
  <si>
    <t>Flash Drive SANDISK 32GB</t>
  </si>
  <si>
    <t>Cutting Nozzle (LPG)</t>
  </si>
  <si>
    <t>Cutting Outfit (HARRIS)</t>
  </si>
  <si>
    <t>2sets Cutting Outfit</t>
  </si>
  <si>
    <t>ALLIED MATERIAL TESTING  LABORATORIES</t>
  </si>
  <si>
    <t>for Concrete Testing</t>
  </si>
  <si>
    <t>Concrete Cylinder Mold (3pcs/set)</t>
  </si>
  <si>
    <t>Shovel for Grouting</t>
  </si>
  <si>
    <t>Flat Shovel (All Steel)</t>
  </si>
  <si>
    <t>Raincoat</t>
  </si>
  <si>
    <t>Rainy Boots</t>
  </si>
  <si>
    <t>Embankment (June 1-11, 2024)</t>
  </si>
  <si>
    <t>Laminated Sack 12ft.</t>
  </si>
  <si>
    <t>Used to Cover Concrete and Cement</t>
  </si>
  <si>
    <t>L88 HARDWARE   0907-769-2997</t>
  </si>
  <si>
    <t>Used for Cutting of Sheet Piles</t>
  </si>
  <si>
    <t>NKH MEGA GAS MARKETING  0998-955-5301</t>
  </si>
  <si>
    <t xml:space="preserve">PPE </t>
  </si>
  <si>
    <t>PPE used for concrete pouring during bad weather.</t>
  </si>
  <si>
    <t>Engr. Librado Lastimoso Jr.</t>
  </si>
  <si>
    <t>2 Months Advance</t>
  </si>
  <si>
    <t>Address: Purok 4. Brgy Poblacion, President Roxas, North Cotabato</t>
  </si>
  <si>
    <t>JAIME JUANERO</t>
  </si>
  <si>
    <t>Material Testing - Region</t>
  </si>
  <si>
    <t>Please see attachment.</t>
  </si>
  <si>
    <t>PO 41034155</t>
  </si>
  <si>
    <t>PO 41034162</t>
  </si>
  <si>
    <t>PO 41034166</t>
  </si>
  <si>
    <t>PO 41034165</t>
  </si>
  <si>
    <t>108 sq.m Office/Staffhouse Rental</t>
  </si>
  <si>
    <t>CHRISTOPHER ALFORJAS   0930-166-4863</t>
  </si>
  <si>
    <t>Site Bunkhouse &amp; Stockyard 50x50 sqm.</t>
  </si>
  <si>
    <t>Site Bunkhouse &amp; Stockyard 50x50 sqm. Rental</t>
  </si>
  <si>
    <t>Address: Purok 3 Alegria, President Roxas, North Cotabato</t>
  </si>
  <si>
    <t>3 Months Advance</t>
  </si>
  <si>
    <t>SM CITY - LANANG</t>
  </si>
  <si>
    <t>for PE &amp; PI of Cotabato Projects</t>
  </si>
  <si>
    <t>Stand Fan</t>
  </si>
  <si>
    <t>Rice Cooker</t>
  </si>
  <si>
    <t>Induction Cooker</t>
  </si>
  <si>
    <t>Electric Kettle</t>
  </si>
  <si>
    <t>Pillow (B1T1)</t>
  </si>
  <si>
    <t>Single Bed Foam</t>
  </si>
  <si>
    <t>CASH - EVC FURNITURE</t>
  </si>
  <si>
    <t xml:space="preserve">Single Wooden Bed </t>
  </si>
  <si>
    <t>Naif Mauna - P.I</t>
  </si>
  <si>
    <t>Khalid Deca - P.I</t>
  </si>
  <si>
    <t>Habib Ali M. Asal - P.E</t>
  </si>
  <si>
    <t>Used for Storing Drinking Water on Site</t>
  </si>
  <si>
    <t>24MO0076 ALEGRIA, COTABATO FLOOD CONTROL PROJECTS</t>
  </si>
  <si>
    <t>Empty Mineral Container 18ltrs</t>
  </si>
  <si>
    <t>J &amp; E WATER REFILLING STATION    0950-072-0229</t>
  </si>
  <si>
    <t>Usedas Temporary Cover for Pouring</t>
  </si>
  <si>
    <t>DIAMOND HARDWARE REPUBLIC  0917-304-8934</t>
  </si>
  <si>
    <t>Island Epoxy Pile Splicing (A, B)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</si>
</sst>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(* #,##0.00_);_(* \(#,##0.00\);_(* &quot;-&quot;??_);_(@_)"/>
    <numFmt numFmtId="164" formatCode="[$-409]d\-mmm\-yy;@"/>
    <numFmt numFmtId="165" formatCode="#,##0.00;[Red]#,##0.00"/>
    <numFmt numFmtId="166" formatCode="_-* #,##0.00_-;\-* #,##0.00_-;_-* &quot;-&quot;??_-;_-@_-"/>
    <numFmt numFmtId="167" formatCode="_(* #,##0.000000_);_(* \(#,##0.000000\);_(* &quot;-&quot;??_);_(@_)"/>
    <numFmt numFmtId="168" formatCode="&quot;CBT24-&quot;000"/>
    <numFmt numFmtId="169" formatCode="[$-409]dd\-mmm\-yy;@"/>
  </numFmts>
  <fonts count="49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0"/>
      <color theme="1"/>
      <name val="Arial"/>
      <family val="2"/>
    </font>
    <font>
      <b/>
      <sz val="18"/>
      <color theme="1"/>
      <name val="Arial"/>
      <family val="2"/>
    </font>
    <font>
      <b/>
      <sz val="16"/>
      <color theme="1"/>
      <name val="Arial"/>
      <family val="2"/>
    </font>
    <font>
      <sz val="9"/>
      <color theme="1"/>
      <name val="Arial"/>
      <family val="2"/>
    </font>
    <font>
      <i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1"/>
      <color theme="10"/>
      <name val="Calibri"/>
      <family val="2"/>
    </font>
    <font>
      <sz val="11"/>
      <color theme="10"/>
      <name val="Arial"/>
      <family val="2"/>
    </font>
    <font>
      <b/>
      <sz val="9"/>
      <color theme="1"/>
      <name val="Arial"/>
      <family val="2"/>
    </font>
    <font>
      <b/>
      <sz val="14"/>
      <color theme="1"/>
      <name val="Arial"/>
      <family val="2"/>
    </font>
    <font>
      <b/>
      <sz val="11"/>
      <color theme="1"/>
      <name val="Arial"/>
      <family val="2"/>
    </font>
    <font>
      <sz val="10"/>
      <name val="Arial"/>
      <family val="2"/>
    </font>
    <font>
      <b/>
      <i/>
      <sz val="10"/>
      <color theme="1"/>
      <name val="Arial"/>
      <family val="2"/>
    </font>
    <font>
      <b/>
      <sz val="10"/>
      <name val="Arial"/>
      <family val="2"/>
    </font>
    <font>
      <sz val="12"/>
      <color theme="1"/>
      <name val="Arial"/>
      <family val="2"/>
    </font>
    <font>
      <i/>
      <sz val="10"/>
      <name val="Arial"/>
      <family val="2"/>
    </font>
    <font>
      <b/>
      <i/>
      <sz val="10"/>
      <name val="Arial"/>
      <family val="2"/>
    </font>
    <font>
      <b/>
      <sz val="11"/>
      <name val="Arial"/>
      <family val="2"/>
    </font>
    <font>
      <b/>
      <sz val="12"/>
      <color theme="1"/>
      <name val="Arial"/>
      <family val="2"/>
    </font>
    <font>
      <sz val="11"/>
      <color theme="0"/>
      <name val="Arial"/>
      <family val="2"/>
    </font>
    <font>
      <b/>
      <i/>
      <sz val="11"/>
      <color theme="1"/>
      <name val="Arial"/>
      <family val="2"/>
    </font>
    <font>
      <b/>
      <i/>
      <sz val="8"/>
      <color theme="1"/>
      <name val="Arial"/>
      <family val="2"/>
    </font>
    <font>
      <u val="singleAccounting"/>
      <sz val="10"/>
      <color theme="1"/>
      <name val="Arial"/>
      <family val="2"/>
    </font>
    <font>
      <sz val="11.5"/>
      <color theme="1"/>
      <name val="Calibri"/>
      <family val="2"/>
      <scheme val="minor"/>
    </font>
    <font>
      <sz val="11.5"/>
      <name val="Calibri   "/>
    </font>
    <font>
      <b/>
      <sz val="15"/>
      <color theme="1"/>
      <name val="Arial"/>
      <family val="2"/>
    </font>
    <font>
      <b/>
      <sz val="12"/>
      <color theme="1"/>
      <name val="Calibri"/>
      <family val="2"/>
      <scheme val="minor"/>
    </font>
    <font>
      <b/>
      <sz val="13"/>
      <color theme="1"/>
      <name val="Calibri"/>
      <family val="2"/>
      <scheme val="minor"/>
    </font>
    <font>
      <sz val="10"/>
      <color rgb="FFFF0000"/>
      <name val="Arial"/>
      <family val="2"/>
    </font>
    <font>
      <sz val="12"/>
      <color theme="1"/>
      <name val="Calibri"/>
      <family val="2"/>
    </font>
    <font>
      <b/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2"/>
      <color theme="1"/>
      <name val="Arial Narrow"/>
      <family val="2"/>
    </font>
    <font>
      <sz val="10"/>
      <name val="Calibri  "/>
    </font>
    <font>
      <b/>
      <sz val="10"/>
      <name val="Calibri  "/>
    </font>
    <font>
      <b/>
      <i/>
      <sz val="10"/>
      <name val="Calibri  "/>
    </font>
    <font>
      <u/>
      <sz val="10"/>
      <color theme="1"/>
      <name val="Arial"/>
      <family val="2"/>
    </font>
    <font>
      <i/>
      <sz val="10"/>
      <color theme="1"/>
      <name val="Arial"/>
      <family val="2"/>
    </font>
    <font>
      <sz val="12"/>
      <name val="Arial"/>
      <family val="2"/>
    </font>
    <font>
      <sz val="8"/>
      <name val="Calibri"/>
      <family val="2"/>
      <scheme val="minor"/>
    </font>
    <font>
      <sz val="12"/>
      <color rgb="FFFF0000"/>
      <name val="Calibri"/>
      <family val="2"/>
    </font>
    <font>
      <sz val="15"/>
      <color theme="1"/>
      <name val="Arial"/>
      <family val="2"/>
    </font>
    <font>
      <sz val="12"/>
      <name val="Calibri"/>
      <family val="2"/>
    </font>
    <font>
      <sz val="10"/>
      <color theme="1"/>
      <name val="Calibri"/>
      <family val="2"/>
    </font>
    <font>
      <i/>
      <u/>
      <sz val="10"/>
      <color theme="1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38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medium">
        <color indexed="64"/>
      </top>
      <bottom style="hair">
        <color indexed="64"/>
      </bottom>
      <diagonal/>
    </border>
    <border>
      <left/>
      <right style="thin">
        <color indexed="64"/>
      </right>
      <top style="medium">
        <color indexed="64"/>
      </top>
      <bottom style="hair">
        <color indexed="64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9" fillId="0" borderId="0" applyNumberFormat="0" applyFill="0" applyBorder="0" applyAlignment="0" applyProtection="0">
      <alignment vertical="top"/>
      <protection locked="0"/>
    </xf>
    <xf numFmtId="43" fontId="1" fillId="0" borderId="0" applyFont="0" applyFill="0" applyBorder="0" applyAlignment="0" applyProtection="0"/>
  </cellStyleXfs>
  <cellXfs count="204">
    <xf numFmtId="0" fontId="0" fillId="0" borderId="0" xfId="0"/>
    <xf numFmtId="0" fontId="2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2" fillId="0" borderId="0" xfId="0" applyFont="1" applyAlignment="1">
      <alignment vertical="center"/>
    </xf>
    <xf numFmtId="43" fontId="2" fillId="0" borderId="0" xfId="1" applyFont="1" applyAlignment="1">
      <alignment vertical="center"/>
    </xf>
    <xf numFmtId="0" fontId="2" fillId="0" borderId="0" xfId="0" applyFont="1"/>
    <xf numFmtId="0" fontId="6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43" fontId="2" fillId="0" borderId="0" xfId="1" applyFont="1"/>
    <xf numFmtId="0" fontId="2" fillId="0" borderId="4" xfId="0" applyFont="1" applyBorder="1" applyAlignment="1">
      <alignment horizontal="left" vertical="center" indent="1"/>
    </xf>
    <xf numFmtId="0" fontId="2" fillId="0" borderId="6" xfId="0" applyFont="1" applyBorder="1" applyAlignment="1">
      <alignment horizontal="left" vertical="center" indent="1"/>
    </xf>
    <xf numFmtId="0" fontId="2" fillId="0" borderId="8" xfId="0" applyFont="1" applyBorder="1" applyAlignment="1">
      <alignment horizontal="left" vertical="center" indent="1"/>
    </xf>
    <xf numFmtId="0" fontId="7" fillId="0" borderId="5" xfId="0" applyFont="1" applyBorder="1" applyAlignment="1">
      <alignment horizontal="left" vertical="center" indent="1"/>
    </xf>
    <xf numFmtId="0" fontId="8" fillId="0" borderId="5" xfId="0" applyFont="1" applyBorder="1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2" fillId="0" borderId="0" xfId="0" applyFont="1" applyAlignment="1">
      <alignment horizontal="left" vertical="center" indent="1"/>
    </xf>
    <xf numFmtId="164" fontId="3" fillId="0" borderId="7" xfId="0" applyNumberFormat="1" applyFont="1" applyBorder="1" applyAlignment="1">
      <alignment horizontal="left" vertical="center" indent="1"/>
    </xf>
    <xf numFmtId="16" fontId="2" fillId="0" borderId="0" xfId="0" applyNumberFormat="1" applyFont="1" applyAlignment="1">
      <alignment vertical="center"/>
    </xf>
    <xf numFmtId="0" fontId="2" fillId="0" borderId="9" xfId="0" applyFont="1" applyBorder="1" applyAlignment="1">
      <alignment horizontal="left" vertical="center"/>
    </xf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vertical="center"/>
    </xf>
    <xf numFmtId="0" fontId="10" fillId="0" borderId="10" xfId="2" applyFont="1" applyBorder="1" applyAlignment="1" applyProtection="1">
      <alignment vertical="center"/>
    </xf>
    <xf numFmtId="15" fontId="2" fillId="0" borderId="1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0" fillId="0" borderId="0" xfId="2" applyFont="1" applyAlignment="1" applyProtection="1">
      <alignment vertical="center"/>
    </xf>
    <xf numFmtId="15" fontId="2" fillId="0" borderId="0" xfId="0" applyNumberFormat="1" applyFont="1" applyAlignment="1">
      <alignment horizontal="left" vertical="center"/>
    </xf>
    <xf numFmtId="0" fontId="11" fillId="2" borderId="0" xfId="0" applyFont="1" applyFill="1" applyAlignment="1">
      <alignment horizontal="center"/>
    </xf>
    <xf numFmtId="0" fontId="12" fillId="2" borderId="0" xfId="0" applyFont="1" applyFill="1" applyAlignment="1">
      <alignment horizontal="center"/>
    </xf>
    <xf numFmtId="0" fontId="13" fillId="0" borderId="0" xfId="0" applyFont="1" applyAlignment="1">
      <alignment horizontal="center" vertical="center"/>
    </xf>
    <xf numFmtId="0" fontId="11" fillId="0" borderId="12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43" fontId="13" fillId="0" borderId="0" xfId="1" applyFont="1" applyAlignment="1">
      <alignment horizontal="center" vertical="center"/>
    </xf>
    <xf numFmtId="0" fontId="6" fillId="0" borderId="17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43" fontId="13" fillId="0" borderId="20" xfId="1" applyFont="1" applyBorder="1" applyAlignment="1">
      <alignment horizontal="center" vertical="center" wrapText="1"/>
    </xf>
    <xf numFmtId="165" fontId="13" fillId="0" borderId="20" xfId="0" applyNumberFormat="1" applyFont="1" applyBorder="1" applyAlignment="1">
      <alignment horizontal="center" vertical="center"/>
    </xf>
    <xf numFmtId="165" fontId="13" fillId="0" borderId="20" xfId="0" applyNumberFormat="1" applyFont="1" applyBorder="1" applyAlignment="1">
      <alignment horizontal="right" vertical="center" indent="1"/>
    </xf>
    <xf numFmtId="43" fontId="2" fillId="0" borderId="0" xfId="1" applyFont="1" applyAlignment="1">
      <alignment horizontal="center" vertical="center"/>
    </xf>
    <xf numFmtId="0" fontId="6" fillId="0" borderId="21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8" fillId="0" borderId="23" xfId="0" applyFont="1" applyBorder="1" applyAlignment="1">
      <alignment vertical="center"/>
    </xf>
    <xf numFmtId="0" fontId="8" fillId="0" borderId="24" xfId="0" applyFont="1" applyBorder="1" applyAlignment="1">
      <alignment vertical="center"/>
    </xf>
    <xf numFmtId="166" fontId="3" fillId="0" borderId="23" xfId="1" applyNumberFormat="1" applyFont="1" applyBorder="1" applyAlignment="1">
      <alignment horizontal="center" vertical="center"/>
    </xf>
    <xf numFmtId="43" fontId="2" fillId="0" borderId="24" xfId="1" applyFont="1" applyBorder="1" applyAlignment="1">
      <alignment horizontal="center" vertical="center"/>
    </xf>
    <xf numFmtId="15" fontId="14" fillId="0" borderId="21" xfId="0" applyNumberFormat="1" applyFont="1" applyBorder="1" applyAlignment="1">
      <alignment horizontal="right" vertical="center"/>
    </xf>
    <xf numFmtId="165" fontId="15" fillId="0" borderId="21" xfId="0" applyNumberFormat="1" applyFont="1" applyBorder="1" applyAlignment="1">
      <alignment vertical="center"/>
    </xf>
    <xf numFmtId="166" fontId="2" fillId="0" borderId="0" xfId="0" applyNumberFormat="1" applyFont="1" applyAlignment="1">
      <alignment vertical="center"/>
    </xf>
    <xf numFmtId="4" fontId="3" fillId="0" borderId="22" xfId="0" applyNumberFormat="1" applyFont="1" applyBorder="1" applyAlignment="1">
      <alignment horizontal="right" vertical="center" indent="1"/>
    </xf>
    <xf numFmtId="0" fontId="15" fillId="0" borderId="21" xfId="0" applyFont="1" applyBorder="1" applyAlignment="1">
      <alignment horizontal="left" vertical="center"/>
    </xf>
    <xf numFmtId="15" fontId="16" fillId="0" borderId="23" xfId="0" applyNumberFormat="1" applyFont="1" applyBorder="1" applyAlignment="1">
      <alignment horizontal="left" vertical="center" indent="1"/>
    </xf>
    <xf numFmtId="15" fontId="14" fillId="0" borderId="24" xfId="0" applyNumberFormat="1" applyFont="1" applyBorder="1" applyAlignment="1">
      <alignment horizontal="center" vertical="center"/>
    </xf>
    <xf numFmtId="43" fontId="2" fillId="0" borderId="23" xfId="1" applyFont="1" applyBorder="1" applyAlignment="1">
      <alignment horizontal="center" vertical="center"/>
    </xf>
    <xf numFmtId="43" fontId="17" fillId="0" borderId="21" xfId="0" applyNumberFormat="1" applyFont="1" applyBorder="1" applyAlignment="1">
      <alignment horizontal="right" vertical="center" indent="1"/>
    </xf>
    <xf numFmtId="167" fontId="2" fillId="0" borderId="0" xfId="0" applyNumberFormat="1" applyFont="1" applyAlignment="1">
      <alignment vertical="center"/>
    </xf>
    <xf numFmtId="15" fontId="18" fillId="0" borderId="25" xfId="0" applyNumberFormat="1" applyFont="1" applyBorder="1" applyAlignment="1">
      <alignment horizontal="left" vertical="center" indent="1"/>
    </xf>
    <xf numFmtId="0" fontId="8" fillId="0" borderId="23" xfId="0" applyFont="1" applyBorder="1" applyAlignment="1">
      <alignment horizontal="left" vertical="center" indent="1"/>
    </xf>
    <xf numFmtId="0" fontId="8" fillId="0" borderId="24" xfId="0" applyFont="1" applyBorder="1" applyAlignment="1">
      <alignment horizontal="left" vertical="center" indent="1"/>
    </xf>
    <xf numFmtId="15" fontId="19" fillId="0" borderId="26" xfId="0" applyNumberFormat="1" applyFont="1" applyBorder="1" applyAlignment="1">
      <alignment horizontal="left" vertical="center" indent="1"/>
    </xf>
    <xf numFmtId="165" fontId="17" fillId="0" borderId="21" xfId="0" applyNumberFormat="1" applyFont="1" applyBorder="1" applyAlignment="1">
      <alignment vertical="center"/>
    </xf>
    <xf numFmtId="165" fontId="17" fillId="0" borderId="29" xfId="0" applyNumberFormat="1" applyFont="1" applyBorder="1" applyAlignment="1">
      <alignment vertical="center"/>
    </xf>
    <xf numFmtId="43" fontId="22" fillId="0" borderId="0" xfId="0" applyNumberFormat="1" applyFont="1"/>
    <xf numFmtId="0" fontId="23" fillId="0" borderId="0" xfId="0" applyFont="1"/>
    <xf numFmtId="0" fontId="24" fillId="0" borderId="0" xfId="0" applyFont="1"/>
    <xf numFmtId="0" fontId="3" fillId="0" borderId="0" xfId="0" applyFont="1" applyAlignment="1">
      <alignment horizontal="left"/>
    </xf>
    <xf numFmtId="0" fontId="3" fillId="0" borderId="0" xfId="0" applyFont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43" fontId="2" fillId="0" borderId="0" xfId="1" applyFont="1" applyAlignment="1">
      <alignment horizontal="center"/>
    </xf>
    <xf numFmtId="0" fontId="3" fillId="0" borderId="10" xfId="0" applyFont="1" applyBorder="1"/>
    <xf numFmtId="0" fontId="3" fillId="0" borderId="0" xfId="0" applyFont="1" applyAlignment="1">
      <alignment horizontal="right"/>
    </xf>
    <xf numFmtId="43" fontId="25" fillId="0" borderId="0" xfId="0" applyNumberFormat="1" applyFont="1"/>
    <xf numFmtId="0" fontId="13" fillId="0" borderId="0" xfId="0" applyFont="1" applyAlignment="1">
      <alignment horizontal="right"/>
    </xf>
    <xf numFmtId="168" fontId="3" fillId="0" borderId="7" xfId="0" applyNumberFormat="1" applyFont="1" applyBorder="1" applyAlignment="1">
      <alignment horizontal="left" vertical="center" indent="1"/>
    </xf>
    <xf numFmtId="166" fontId="3" fillId="0" borderId="24" xfId="1" applyNumberFormat="1" applyFont="1" applyBorder="1" applyAlignment="1">
      <alignment horizontal="center" vertical="center"/>
    </xf>
    <xf numFmtId="0" fontId="26" fillId="0" borderId="23" xfId="0" applyFont="1" applyBorder="1" applyAlignment="1">
      <alignment vertical="center"/>
    </xf>
    <xf numFmtId="15" fontId="27" fillId="0" borderId="23" xfId="0" applyNumberFormat="1" applyFont="1" applyBorder="1" applyAlignment="1">
      <alignment horizontal="left" vertical="center" indent="1"/>
    </xf>
    <xf numFmtId="0" fontId="8" fillId="0" borderId="5" xfId="0" applyFont="1" applyBorder="1" applyAlignment="1">
      <alignment vertical="center"/>
    </xf>
    <xf numFmtId="0" fontId="2" fillId="0" borderId="0" xfId="0" quotePrefix="1" applyFont="1" applyAlignment="1">
      <alignment vertical="center"/>
    </xf>
    <xf numFmtId="0" fontId="26" fillId="0" borderId="23" xfId="0" applyFont="1" applyBorder="1" applyAlignment="1">
      <alignment horizontal="left" vertical="center"/>
    </xf>
    <xf numFmtId="0" fontId="8" fillId="0" borderId="23" xfId="0" applyFont="1" applyBorder="1" applyAlignment="1">
      <alignment horizontal="left" vertical="center"/>
    </xf>
    <xf numFmtId="0" fontId="8" fillId="0" borderId="24" xfId="0" applyFont="1" applyBorder="1" applyAlignment="1">
      <alignment horizontal="left" vertical="center"/>
    </xf>
    <xf numFmtId="0" fontId="13" fillId="0" borderId="0" xfId="0" applyFont="1" applyAlignment="1">
      <alignment vertical="center"/>
    </xf>
    <xf numFmtId="0" fontId="28" fillId="0" borderId="0" xfId="0" applyFont="1" applyAlignment="1">
      <alignment vertical="center"/>
    </xf>
    <xf numFmtId="43" fontId="2" fillId="0" borderId="0" xfId="0" applyNumberFormat="1" applyFont="1" applyAlignment="1">
      <alignment vertical="center"/>
    </xf>
    <xf numFmtId="4" fontId="13" fillId="0" borderId="0" xfId="0" applyNumberFormat="1" applyFont="1" applyAlignment="1">
      <alignment vertical="center"/>
    </xf>
    <xf numFmtId="166" fontId="3" fillId="0" borderId="23" xfId="1" applyNumberFormat="1" applyFont="1" applyFill="1" applyBorder="1" applyAlignment="1">
      <alignment horizontal="center" vertical="center"/>
    </xf>
    <xf numFmtId="43" fontId="2" fillId="0" borderId="24" xfId="1" applyFont="1" applyFill="1" applyBorder="1" applyAlignment="1">
      <alignment horizontal="center" vertical="center"/>
    </xf>
    <xf numFmtId="43" fontId="2" fillId="0" borderId="0" xfId="1" applyFont="1" applyFill="1" applyAlignment="1">
      <alignment vertical="center"/>
    </xf>
    <xf numFmtId="0" fontId="30" fillId="0" borderId="23" xfId="0" applyFont="1" applyBorder="1" applyAlignment="1">
      <alignment vertical="center"/>
    </xf>
    <xf numFmtId="43" fontId="5" fillId="0" borderId="0" xfId="1" applyFont="1" applyAlignment="1">
      <alignment vertical="center" wrapText="1"/>
    </xf>
    <xf numFmtId="43" fontId="2" fillId="0" borderId="0" xfId="1" applyFont="1" applyAlignment="1">
      <alignment horizontal="left" vertical="center"/>
    </xf>
    <xf numFmtId="4" fontId="31" fillId="0" borderId="22" xfId="0" applyNumberFormat="1" applyFont="1" applyBorder="1" applyAlignment="1">
      <alignment horizontal="right" vertical="center" indent="1"/>
    </xf>
    <xf numFmtId="0" fontId="8" fillId="0" borderId="23" xfId="0" quotePrefix="1" applyFont="1" applyBorder="1" applyAlignment="1">
      <alignment vertical="center"/>
    </xf>
    <xf numFmtId="0" fontId="26" fillId="0" borderId="23" xfId="0" quotePrefix="1" applyFont="1" applyBorder="1" applyAlignment="1">
      <alignment vertical="center"/>
    </xf>
    <xf numFmtId="15" fontId="27" fillId="0" borderId="23" xfId="0" quotePrefix="1" applyNumberFormat="1" applyFont="1" applyBorder="1" applyAlignment="1">
      <alignment horizontal="left" vertical="center" indent="1"/>
    </xf>
    <xf numFmtId="0" fontId="32" fillId="0" borderId="23" xfId="0" applyFont="1" applyBorder="1" applyAlignment="1">
      <alignment vertical="center"/>
    </xf>
    <xf numFmtId="0" fontId="33" fillId="0" borderId="0" xfId="0" applyFont="1"/>
    <xf numFmtId="43" fontId="25" fillId="0" borderId="0" xfId="1" applyFont="1"/>
    <xf numFmtId="9" fontId="32" fillId="0" borderId="23" xfId="0" applyNumberFormat="1" applyFont="1" applyBorder="1" applyAlignment="1">
      <alignment vertical="center"/>
    </xf>
    <xf numFmtId="0" fontId="35" fillId="0" borderId="5" xfId="0" applyFont="1" applyBorder="1" applyAlignment="1">
      <alignment vertical="center"/>
    </xf>
    <xf numFmtId="169" fontId="2" fillId="0" borderId="0" xfId="0" applyNumberFormat="1" applyFont="1" applyAlignment="1">
      <alignment vertical="center"/>
    </xf>
    <xf numFmtId="0" fontId="13" fillId="0" borderId="0" xfId="0" applyFont="1" applyAlignment="1">
      <alignment horizontal="left" vertical="center"/>
    </xf>
    <xf numFmtId="0" fontId="29" fillId="0" borderId="23" xfId="0" quotePrefix="1" applyFont="1" applyBorder="1" applyAlignment="1">
      <alignment vertical="center"/>
    </xf>
    <xf numFmtId="0" fontId="36" fillId="0" borderId="24" xfId="0" applyFont="1" applyBorder="1" applyAlignment="1">
      <alignment horizontal="left" vertical="center" indent="1"/>
    </xf>
    <xf numFmtId="4" fontId="2" fillId="0" borderId="0" xfId="0" applyNumberFormat="1" applyFont="1" applyAlignment="1">
      <alignment vertical="center"/>
    </xf>
    <xf numFmtId="15" fontId="37" fillId="0" borderId="23" xfId="0" applyNumberFormat="1" applyFont="1" applyBorder="1" applyAlignment="1">
      <alignment vertical="center"/>
    </xf>
    <xf numFmtId="15" fontId="38" fillId="0" borderId="24" xfId="0" applyNumberFormat="1" applyFont="1" applyBorder="1" applyAlignment="1">
      <alignment vertical="center"/>
    </xf>
    <xf numFmtId="43" fontId="3" fillId="0" borderId="23" xfId="1" applyFont="1" applyBorder="1" applyAlignment="1">
      <alignment horizontal="center" vertical="center"/>
    </xf>
    <xf numFmtId="43" fontId="3" fillId="0" borderId="21" xfId="0" applyNumberFormat="1" applyFont="1" applyBorder="1" applyAlignment="1">
      <alignment horizontal="right" vertical="center" indent="1"/>
    </xf>
    <xf numFmtId="15" fontId="39" fillId="0" borderId="26" xfId="0" applyNumberFormat="1" applyFont="1" applyBorder="1" applyAlignment="1">
      <alignment horizontal="left" vertical="center" indent="1"/>
    </xf>
    <xf numFmtId="43" fontId="3" fillId="0" borderId="0" xfId="3" applyFont="1"/>
    <xf numFmtId="43" fontId="2" fillId="0" borderId="0" xfId="0" applyNumberFormat="1" applyFont="1"/>
    <xf numFmtId="43" fontId="8" fillId="0" borderId="23" xfId="0" applyNumberFormat="1" applyFont="1" applyBorder="1" applyAlignment="1">
      <alignment vertical="center"/>
    </xf>
    <xf numFmtId="43" fontId="29" fillId="0" borderId="23" xfId="0" quotePrefix="1" applyNumberFormat="1" applyFont="1" applyBorder="1" applyAlignment="1">
      <alignment vertical="center"/>
    </xf>
    <xf numFmtId="0" fontId="2" fillId="0" borderId="31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166" fontId="3" fillId="0" borderId="32" xfId="1" applyNumberFormat="1" applyFont="1" applyBorder="1" applyAlignment="1">
      <alignment horizontal="center" vertical="center"/>
    </xf>
    <xf numFmtId="166" fontId="3" fillId="0" borderId="30" xfId="1" applyNumberFormat="1" applyFont="1" applyBorder="1" applyAlignment="1">
      <alignment horizontal="center" vertical="center"/>
    </xf>
    <xf numFmtId="166" fontId="3" fillId="0" borderId="29" xfId="1" applyNumberFormat="1" applyFont="1" applyBorder="1" applyAlignment="1">
      <alignment horizontal="center" vertical="center"/>
    </xf>
    <xf numFmtId="0" fontId="32" fillId="0" borderId="29" xfId="0" applyFont="1" applyBorder="1" applyAlignment="1">
      <alignment vertical="center"/>
    </xf>
    <xf numFmtId="0" fontId="41" fillId="0" borderId="21" xfId="0" applyFont="1" applyBorder="1" applyAlignment="1">
      <alignment horizontal="left" vertical="center"/>
    </xf>
    <xf numFmtId="165" fontId="41" fillId="0" borderId="21" xfId="0" applyNumberFormat="1" applyFont="1" applyBorder="1" applyAlignment="1">
      <alignment vertical="center"/>
    </xf>
    <xf numFmtId="15" fontId="14" fillId="0" borderId="23" xfId="0" applyNumberFormat="1" applyFont="1" applyBorder="1" applyAlignment="1">
      <alignment horizontal="left" vertical="center" indent="1"/>
    </xf>
    <xf numFmtId="15" fontId="27" fillId="0" borderId="23" xfId="0" applyNumberFormat="1" applyFont="1" applyBorder="1" applyAlignment="1">
      <alignment vertical="center"/>
    </xf>
    <xf numFmtId="15" fontId="42" fillId="0" borderId="23" xfId="0" applyNumberFormat="1" applyFont="1" applyBorder="1"/>
    <xf numFmtId="15" fontId="42" fillId="0" borderId="23" xfId="0" applyNumberFormat="1" applyFont="1" applyBorder="1" applyAlignment="1">
      <alignment vertical="center"/>
    </xf>
    <xf numFmtId="165" fontId="21" fillId="0" borderId="27" xfId="0" applyNumberFormat="1" applyFont="1" applyBorder="1" applyAlignment="1">
      <alignment horizontal="right" vertical="center" indent="1"/>
    </xf>
    <xf numFmtId="165" fontId="21" fillId="0" borderId="20" xfId="0" applyNumberFormat="1" applyFont="1" applyBorder="1" applyAlignment="1">
      <alignment horizontal="right" vertical="center" indent="1"/>
    </xf>
    <xf numFmtId="0" fontId="40" fillId="0" borderId="0" xfId="0" applyFont="1"/>
    <xf numFmtId="0" fontId="8" fillId="0" borderId="32" xfId="0" applyFont="1" applyBorder="1" applyAlignment="1">
      <alignment vertical="center"/>
    </xf>
    <xf numFmtId="0" fontId="8" fillId="0" borderId="34" xfId="0" applyFont="1" applyBorder="1" applyAlignment="1">
      <alignment vertical="center"/>
    </xf>
    <xf numFmtId="43" fontId="2" fillId="0" borderId="34" xfId="1" applyFont="1" applyBorder="1" applyAlignment="1">
      <alignment horizontal="center" vertical="center"/>
    </xf>
    <xf numFmtId="15" fontId="14" fillId="0" borderId="33" xfId="0" applyNumberFormat="1" applyFont="1" applyBorder="1" applyAlignment="1">
      <alignment horizontal="right" vertical="center"/>
    </xf>
    <xf numFmtId="165" fontId="15" fillId="0" borderId="33" xfId="0" applyNumberFormat="1" applyFont="1" applyBorder="1" applyAlignment="1">
      <alignment vertical="center"/>
    </xf>
    <xf numFmtId="0" fontId="2" fillId="0" borderId="29" xfId="0" applyFont="1" applyBorder="1" applyAlignment="1">
      <alignment vertical="center"/>
    </xf>
    <xf numFmtId="15" fontId="14" fillId="0" borderId="29" xfId="0" applyNumberFormat="1" applyFont="1" applyBorder="1" applyAlignment="1">
      <alignment horizontal="right" vertical="center"/>
    </xf>
    <xf numFmtId="165" fontId="15" fillId="0" borderId="29" xfId="0" applyNumberFormat="1" applyFont="1" applyBorder="1" applyAlignment="1">
      <alignment vertical="center"/>
    </xf>
    <xf numFmtId="43" fontId="2" fillId="0" borderId="29" xfId="1" applyFont="1" applyBorder="1" applyAlignment="1">
      <alignment vertical="center"/>
    </xf>
    <xf numFmtId="0" fontId="2" fillId="0" borderId="29" xfId="0" applyFont="1" applyBorder="1"/>
    <xf numFmtId="165" fontId="17" fillId="0" borderId="20" xfId="0" applyNumberFormat="1" applyFont="1" applyBorder="1" applyAlignment="1">
      <alignment vertical="center"/>
    </xf>
    <xf numFmtId="0" fontId="6" fillId="0" borderId="0" xfId="0" applyFont="1" applyAlignment="1">
      <alignment horizontal="center" vertical="center"/>
    </xf>
    <xf numFmtId="43" fontId="13" fillId="0" borderId="0" xfId="1" applyFont="1" applyAlignment="1">
      <alignment horizontal="left" vertical="center"/>
    </xf>
    <xf numFmtId="0" fontId="44" fillId="0" borderId="23" xfId="0" applyFont="1" applyBorder="1" applyAlignment="1">
      <alignment vertical="center"/>
    </xf>
    <xf numFmtId="0" fontId="45" fillId="3" borderId="0" xfId="0" applyFont="1" applyFill="1" applyAlignment="1">
      <alignment horizontal="left" vertical="center"/>
    </xf>
    <xf numFmtId="0" fontId="46" fillId="0" borderId="23" xfId="0" applyFont="1" applyBorder="1" applyAlignment="1">
      <alignment vertical="center"/>
    </xf>
    <xf numFmtId="9" fontId="2" fillId="0" borderId="0" xfId="0" applyNumberFormat="1" applyFont="1" applyAlignment="1">
      <alignment vertical="center" wrapText="1"/>
    </xf>
    <xf numFmtId="43" fontId="2" fillId="0" borderId="0" xfId="0" applyNumberFormat="1" applyFont="1" applyAlignment="1">
      <alignment vertical="center" wrapText="1"/>
    </xf>
    <xf numFmtId="0" fontId="8" fillId="0" borderId="35" xfId="0" applyFont="1" applyBorder="1" applyAlignment="1">
      <alignment vertical="center"/>
    </xf>
    <xf numFmtId="0" fontId="2" fillId="0" borderId="36" xfId="0" applyFont="1" applyBorder="1" applyAlignment="1">
      <alignment vertical="center"/>
    </xf>
    <xf numFmtId="0" fontId="8" fillId="0" borderId="37" xfId="0" applyFont="1" applyBorder="1" applyAlignment="1">
      <alignment vertical="center"/>
    </xf>
    <xf numFmtId="0" fontId="47" fillId="0" borderId="23" xfId="0" applyFont="1" applyBorder="1" applyAlignment="1">
      <alignment vertical="center"/>
    </xf>
    <xf numFmtId="0" fontId="35" fillId="0" borderId="23" xfId="0" applyFont="1" applyBorder="1" applyAlignment="1">
      <alignment vertical="center"/>
    </xf>
    <xf numFmtId="43" fontId="3" fillId="0" borderId="24" xfId="1" applyFont="1" applyBorder="1" applyAlignment="1">
      <alignment horizontal="center" vertical="center"/>
    </xf>
    <xf numFmtId="0" fontId="48" fillId="0" borderId="0" xfId="0" applyFont="1"/>
    <xf numFmtId="43" fontId="13" fillId="0" borderId="0" xfId="1" applyFont="1"/>
    <xf numFmtId="165" fontId="21" fillId="0" borderId="27" xfId="0" applyNumberFormat="1" applyFont="1" applyBorder="1" applyAlignment="1">
      <alignment horizontal="right" vertical="center" indent="1"/>
    </xf>
    <xf numFmtId="165" fontId="21" fillId="0" borderId="20" xfId="0" applyNumberFormat="1" applyFont="1" applyBorder="1" applyAlignment="1">
      <alignment horizontal="right" vertical="center" indent="1"/>
    </xf>
    <xf numFmtId="0" fontId="6" fillId="0" borderId="0" xfId="0" applyFont="1" applyAlignment="1">
      <alignment horizontal="center"/>
    </xf>
    <xf numFmtId="0" fontId="2" fillId="0" borderId="18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43" fontId="13" fillId="0" borderId="18" xfId="1" applyFont="1" applyBorder="1" applyAlignment="1">
      <alignment horizontal="center" vertical="center"/>
    </xf>
    <xf numFmtId="43" fontId="13" fillId="0" borderId="19" xfId="1" applyFont="1" applyBorder="1" applyAlignment="1">
      <alignment horizontal="center" vertical="center"/>
    </xf>
    <xf numFmtId="0" fontId="6" fillId="0" borderId="27" xfId="0" applyFont="1" applyBorder="1" applyAlignment="1">
      <alignment horizontal="center" vertical="center"/>
    </xf>
    <xf numFmtId="0" fontId="6" fillId="0" borderId="20" xfId="0" applyFont="1" applyBorder="1" applyAlignment="1">
      <alignment horizontal="center" vertical="center"/>
    </xf>
    <xf numFmtId="0" fontId="20" fillId="0" borderId="27" xfId="0" applyFont="1" applyBorder="1" applyAlignment="1">
      <alignment horizontal="center" vertical="center"/>
    </xf>
    <xf numFmtId="0" fontId="20" fillId="0" borderId="20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2" fillId="0" borderId="2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21" fillId="0" borderId="4" xfId="0" applyFont="1" applyBorder="1" applyAlignment="1">
      <alignment horizontal="center" vertical="center"/>
    </xf>
    <xf numFmtId="0" fontId="21" fillId="0" borderId="28" xfId="0" applyFont="1" applyBorder="1" applyAlignment="1">
      <alignment horizontal="center" vertical="center"/>
    </xf>
    <xf numFmtId="0" fontId="21" fillId="0" borderId="9" xfId="0" applyFont="1" applyBorder="1" applyAlignment="1">
      <alignment horizontal="center" vertical="center"/>
    </xf>
    <xf numFmtId="0" fontId="21" fillId="0" borderId="1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wrapText="1"/>
    </xf>
    <xf numFmtId="0" fontId="3" fillId="0" borderId="2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29" fillId="0" borderId="5" xfId="0" applyFont="1" applyBorder="1" applyAlignment="1">
      <alignment vertical="center"/>
    </xf>
    <xf numFmtId="0" fontId="8" fillId="0" borderId="5" xfId="0" applyFont="1" applyBorder="1" applyAlignment="1">
      <alignment horizontal="left" vertical="center" wrapText="1"/>
    </xf>
    <xf numFmtId="0" fontId="13" fillId="0" borderId="14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29" fillId="0" borderId="5" xfId="0" applyFont="1" applyBorder="1" applyAlignment="1">
      <alignment horizontal="left" vertical="center" indent="1"/>
    </xf>
    <xf numFmtId="0" fontId="0" fillId="0" borderId="5" xfId="0" applyBorder="1" applyAlignment="1">
      <alignment horizontal="left" vertical="center" indent="1"/>
    </xf>
    <xf numFmtId="43" fontId="21" fillId="0" borderId="27" xfId="1" applyFont="1" applyBorder="1" applyAlignment="1">
      <alignment horizontal="right" vertical="center" indent="1"/>
    </xf>
    <xf numFmtId="43" fontId="21" fillId="0" borderId="20" xfId="1" applyFont="1" applyBorder="1" applyAlignment="1">
      <alignment horizontal="right" vertical="center" indent="1"/>
    </xf>
    <xf numFmtId="0" fontId="34" fillId="0" borderId="5" xfId="0" applyFont="1" applyBorder="1" applyAlignment="1">
      <alignment horizontal="left" vertical="center" indent="1"/>
    </xf>
    <xf numFmtId="0" fontId="29" fillId="0" borderId="5" xfId="0" applyFont="1" applyBorder="1" applyAlignment="1">
      <alignment horizontal="left" vertical="center" wrapText="1"/>
    </xf>
    <xf numFmtId="0" fontId="8" fillId="0" borderId="23" xfId="0" applyFont="1" applyBorder="1" applyAlignment="1">
      <alignment vertical="center"/>
    </xf>
    <xf numFmtId="0" fontId="8" fillId="0" borderId="24" xfId="0" applyFont="1" applyBorder="1" applyAlignment="1">
      <alignment vertical="center"/>
    </xf>
    <xf numFmtId="0" fontId="8" fillId="0" borderId="5" xfId="0" applyFont="1" applyBorder="1" applyAlignment="1">
      <alignment horizontal="left" vertical="center" indent="1"/>
    </xf>
    <xf numFmtId="0" fontId="8" fillId="0" borderId="23" xfId="0" applyFont="1" applyBorder="1" applyAlignment="1">
      <alignment horizontal="left" vertical="center"/>
    </xf>
    <xf numFmtId="0" fontId="8" fillId="0" borderId="24" xfId="0" applyFont="1" applyBorder="1" applyAlignment="1">
      <alignment horizontal="left" vertical="center"/>
    </xf>
    <xf numFmtId="0" fontId="3" fillId="0" borderId="0" xfId="0" applyFont="1" applyAlignment="1">
      <alignment horizontal="left"/>
    </xf>
    <xf numFmtId="0" fontId="32" fillId="0" borderId="0" xfId="0" applyFont="1" applyAlignment="1">
      <alignment horizontal="center" vertical="center"/>
    </xf>
    <xf numFmtId="0" fontId="32" fillId="0" borderId="4" xfId="0" applyFont="1" applyBorder="1" applyAlignment="1">
      <alignment horizontal="center" vertical="center"/>
    </xf>
    <xf numFmtId="0" fontId="32" fillId="0" borderId="28" xfId="0" applyFont="1" applyBorder="1" applyAlignment="1">
      <alignment horizontal="center" vertical="center"/>
    </xf>
    <xf numFmtId="0" fontId="7" fillId="0" borderId="5" xfId="0" applyFont="1" applyBorder="1" applyAlignment="1">
      <alignment horizontal="left" vertical="center"/>
    </xf>
    <xf numFmtId="0" fontId="8" fillId="0" borderId="23" xfId="0" quotePrefix="1" applyFont="1" applyBorder="1" applyAlignment="1">
      <alignment vertical="center"/>
    </xf>
  </cellXfs>
  <cellStyles count="4">
    <cellStyle name="Comma" xfId="1" builtinId="3"/>
    <cellStyle name="Comma 2" xfId="3" xr:uid="{1DCED6B8-0C7F-4A37-930E-FF07706AF211}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38" Type="http://schemas.openxmlformats.org/officeDocument/2006/relationships/worksheet" Target="worksheets/sheet138.xml"/><Relationship Id="rId154" Type="http://schemas.openxmlformats.org/officeDocument/2006/relationships/worksheet" Target="worksheets/sheet154.xml"/><Relationship Id="rId159" Type="http://schemas.openxmlformats.org/officeDocument/2006/relationships/worksheet" Target="worksheets/sheet159.xml"/><Relationship Id="rId175" Type="http://schemas.openxmlformats.org/officeDocument/2006/relationships/worksheet" Target="worksheets/sheet175.xml"/><Relationship Id="rId170" Type="http://schemas.openxmlformats.org/officeDocument/2006/relationships/worksheet" Target="worksheets/sheet170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144" Type="http://schemas.openxmlformats.org/officeDocument/2006/relationships/worksheet" Target="worksheets/sheet144.xml"/><Relationship Id="rId149" Type="http://schemas.openxmlformats.org/officeDocument/2006/relationships/worksheet" Target="worksheets/sheet149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160" Type="http://schemas.openxmlformats.org/officeDocument/2006/relationships/worksheet" Target="worksheets/sheet160.xml"/><Relationship Id="rId165" Type="http://schemas.openxmlformats.org/officeDocument/2006/relationships/worksheet" Target="worksheets/sheet165.xml"/><Relationship Id="rId181" Type="http://schemas.openxmlformats.org/officeDocument/2006/relationships/calcChain" Target="calcChain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50" Type="http://schemas.openxmlformats.org/officeDocument/2006/relationships/worksheet" Target="worksheets/sheet150.xml"/><Relationship Id="rId155" Type="http://schemas.openxmlformats.org/officeDocument/2006/relationships/worksheet" Target="worksheets/sheet155.xml"/><Relationship Id="rId171" Type="http://schemas.openxmlformats.org/officeDocument/2006/relationships/worksheet" Target="worksheets/sheet171.xml"/><Relationship Id="rId176" Type="http://schemas.openxmlformats.org/officeDocument/2006/relationships/externalLink" Target="externalLinks/externalLink1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worksheet" Target="worksheets/sheet145.xml"/><Relationship Id="rId161" Type="http://schemas.openxmlformats.org/officeDocument/2006/relationships/worksheet" Target="worksheets/sheet161.xml"/><Relationship Id="rId166" Type="http://schemas.openxmlformats.org/officeDocument/2006/relationships/worksheet" Target="worksheets/sheet16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51" Type="http://schemas.openxmlformats.org/officeDocument/2006/relationships/worksheet" Target="worksheets/sheet151.xml"/><Relationship Id="rId156" Type="http://schemas.openxmlformats.org/officeDocument/2006/relationships/worksheet" Target="worksheets/sheet156.xml"/><Relationship Id="rId177" Type="http://schemas.openxmlformats.org/officeDocument/2006/relationships/externalLink" Target="externalLinks/externalLink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72" Type="http://schemas.openxmlformats.org/officeDocument/2006/relationships/worksheet" Target="worksheets/sheet172.xml"/><Relationship Id="rId180" Type="http://schemas.openxmlformats.org/officeDocument/2006/relationships/sharedStrings" Target="sharedStrings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worksheet" Target="worksheets/sheet146.xml"/><Relationship Id="rId167" Type="http://schemas.openxmlformats.org/officeDocument/2006/relationships/worksheet" Target="worksheets/sheet167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162" Type="http://schemas.openxmlformats.org/officeDocument/2006/relationships/worksheet" Target="worksheets/sheet16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157" Type="http://schemas.openxmlformats.org/officeDocument/2006/relationships/worksheet" Target="worksheets/sheet157.xml"/><Relationship Id="rId178" Type="http://schemas.openxmlformats.org/officeDocument/2006/relationships/theme" Target="theme/theme1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52" Type="http://schemas.openxmlformats.org/officeDocument/2006/relationships/worksheet" Target="worksheets/sheet152.xml"/><Relationship Id="rId173" Type="http://schemas.openxmlformats.org/officeDocument/2006/relationships/worksheet" Target="worksheets/sheet173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worksheet" Target="worksheets/sheet147.xml"/><Relationship Id="rId168" Type="http://schemas.openxmlformats.org/officeDocument/2006/relationships/worksheet" Target="worksheets/sheet168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163" Type="http://schemas.openxmlformats.org/officeDocument/2006/relationships/worksheet" Target="worksheets/sheet163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158" Type="http://schemas.openxmlformats.org/officeDocument/2006/relationships/worksheet" Target="worksheets/sheet158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3" Type="http://schemas.openxmlformats.org/officeDocument/2006/relationships/worksheet" Target="worksheets/sheet153.xml"/><Relationship Id="rId174" Type="http://schemas.openxmlformats.org/officeDocument/2006/relationships/worksheet" Target="worksheets/sheet174.xml"/><Relationship Id="rId179" Type="http://schemas.openxmlformats.org/officeDocument/2006/relationships/styles" Target="styles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worksheet" Target="worksheets/sheet148.xml"/><Relationship Id="rId164" Type="http://schemas.openxmlformats.org/officeDocument/2006/relationships/worksheet" Target="worksheets/sheet164.xml"/><Relationship Id="rId169" Type="http://schemas.openxmlformats.org/officeDocument/2006/relationships/worksheet" Target="worksheets/sheet16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5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jpeg"/><Relationship Id="rId7" Type="http://schemas.openxmlformats.org/officeDocument/2006/relationships/image" Target="../media/image5.jpeg"/><Relationship Id="rId2" Type="http://schemas.openxmlformats.org/officeDocument/2006/relationships/image" Target="../media/image80.jpeg"/><Relationship Id="rId1" Type="http://schemas.openxmlformats.org/officeDocument/2006/relationships/image" Target="../media/image1.jpeg"/><Relationship Id="rId6" Type="http://schemas.openxmlformats.org/officeDocument/2006/relationships/image" Target="../media/image4.jpeg"/><Relationship Id="rId5" Type="http://schemas.openxmlformats.org/officeDocument/2006/relationships/image" Target="../media/image74.jpeg"/><Relationship Id="rId4" Type="http://schemas.openxmlformats.org/officeDocument/2006/relationships/image" Target="../media/image2.jpeg"/></Relationships>
</file>

<file path=xl/drawings/_rels/drawing10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3" Type="http://schemas.openxmlformats.org/officeDocument/2006/relationships/image" Target="../media/image7.jpeg"/><Relationship Id="rId7" Type="http://schemas.openxmlformats.org/officeDocument/2006/relationships/image" Target="../media/image4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0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3" Type="http://schemas.openxmlformats.org/officeDocument/2006/relationships/image" Target="../media/image7.jpeg"/><Relationship Id="rId7" Type="http://schemas.openxmlformats.org/officeDocument/2006/relationships/image" Target="../media/image4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0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.jpeg"/><Relationship Id="rId5" Type="http://schemas.openxmlformats.org/officeDocument/2006/relationships/image" Target="../media/image74.jpeg"/><Relationship Id="rId4" Type="http://schemas.openxmlformats.org/officeDocument/2006/relationships/image" Target="../media/image3.jpeg"/></Relationships>
</file>

<file path=xl/drawings/_rels/drawing10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0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7.jpeg"/><Relationship Id="rId7" Type="http://schemas.openxmlformats.org/officeDocument/2006/relationships/image" Target="../media/image8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Relationship Id="rId9" Type="http://schemas.openxmlformats.org/officeDocument/2006/relationships/image" Target="../media/image19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8.jpeg"/><Relationship Id="rId4" Type="http://schemas.openxmlformats.org/officeDocument/2006/relationships/image" Target="../media/image3.jpeg"/></Relationships>
</file>

<file path=xl/drawings/_rels/drawing1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1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1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5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1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7" Type="http://schemas.openxmlformats.org/officeDocument/2006/relationships/image" Target="../media/image87.pn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6" Type="http://schemas.openxmlformats.org/officeDocument/2006/relationships/image" Target="../media/image86.png"/><Relationship Id="rId5" Type="http://schemas.openxmlformats.org/officeDocument/2006/relationships/image" Target="../media/image85.png"/><Relationship Id="rId4" Type="http://schemas.openxmlformats.org/officeDocument/2006/relationships/image" Target="../media/image5.jpeg"/></Relationships>
</file>

<file path=xl/drawings/_rels/drawing1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5" Type="http://schemas.openxmlformats.org/officeDocument/2006/relationships/image" Target="../media/image18.png"/><Relationship Id="rId4" Type="http://schemas.openxmlformats.org/officeDocument/2006/relationships/image" Target="../media/image5.jpeg"/></Relationships>
</file>

<file path=xl/drawings/_rels/drawing1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3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3" Type="http://schemas.openxmlformats.org/officeDocument/2006/relationships/image" Target="../media/image69.jpeg"/><Relationship Id="rId7" Type="http://schemas.openxmlformats.org/officeDocument/2006/relationships/image" Target="../media/image88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90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2.png"/><Relationship Id="rId3" Type="http://schemas.openxmlformats.org/officeDocument/2006/relationships/image" Target="../media/image7.jpeg"/><Relationship Id="rId7" Type="http://schemas.openxmlformats.org/officeDocument/2006/relationships/image" Target="../media/image9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5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1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1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1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.jpeg"/><Relationship Id="rId5" Type="http://schemas.openxmlformats.org/officeDocument/2006/relationships/image" Target="../media/image74.jpeg"/><Relationship Id="rId4" Type="http://schemas.openxmlformats.org/officeDocument/2006/relationships/image" Target="../media/image3.jpeg"/></Relationships>
</file>

<file path=xl/drawings/_rels/drawing1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.jpeg"/><Relationship Id="rId5" Type="http://schemas.openxmlformats.org/officeDocument/2006/relationships/image" Target="../media/image74.jpeg"/><Relationship Id="rId4" Type="http://schemas.openxmlformats.org/officeDocument/2006/relationships/image" Target="../media/image3.jpeg"/></Relationships>
</file>

<file path=xl/drawings/_rels/drawing1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9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9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95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96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9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98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99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jpeg"/><Relationship Id="rId3" Type="http://schemas.openxmlformats.org/officeDocument/2006/relationships/image" Target="../media/image3.jpeg"/><Relationship Id="rId7" Type="http://schemas.openxmlformats.org/officeDocument/2006/relationships/image" Target="../media/image1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99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5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1.png"/><Relationship Id="rId3" Type="http://schemas.openxmlformats.org/officeDocument/2006/relationships/image" Target="../media/image32.jpeg"/><Relationship Id="rId7" Type="http://schemas.openxmlformats.org/officeDocument/2006/relationships/image" Target="../media/image100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3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0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1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8.jpeg"/><Relationship Id="rId4" Type="http://schemas.openxmlformats.org/officeDocument/2006/relationships/image" Target="../media/image3.jpeg"/></Relationships>
</file>

<file path=xl/drawings/_rels/drawing1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.jpeg"/><Relationship Id="rId5" Type="http://schemas.openxmlformats.org/officeDocument/2006/relationships/image" Target="../media/image74.jpeg"/><Relationship Id="rId4" Type="http://schemas.openxmlformats.org/officeDocument/2006/relationships/image" Target="../media/image3.jpeg"/></Relationships>
</file>

<file path=xl/drawings/_rels/drawing1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3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.jpeg"/><Relationship Id="rId5" Type="http://schemas.openxmlformats.org/officeDocument/2006/relationships/image" Target="../media/image74.jpeg"/><Relationship Id="rId4" Type="http://schemas.openxmlformats.org/officeDocument/2006/relationships/image" Target="../media/image3.jpeg"/></Relationships>
</file>

<file path=xl/drawings/_rels/drawing1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.jpeg"/><Relationship Id="rId5" Type="http://schemas.openxmlformats.org/officeDocument/2006/relationships/image" Target="../media/image74.jpeg"/><Relationship Id="rId4" Type="http://schemas.openxmlformats.org/officeDocument/2006/relationships/image" Target="../media/image3.jpe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5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1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1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1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4.pn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8.jpeg"/><Relationship Id="rId4" Type="http://schemas.openxmlformats.org/officeDocument/2006/relationships/image" Target="../media/image3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17.png"/><Relationship Id="rId4" Type="http://schemas.openxmlformats.org/officeDocument/2006/relationships/image" Target="../media/image2.jpe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5" Type="http://schemas.openxmlformats.org/officeDocument/2006/relationships/image" Target="../media/image18.png"/><Relationship Id="rId4" Type="http://schemas.openxmlformats.org/officeDocument/2006/relationships/image" Target="../media/image5.jpe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3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3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jpeg"/><Relationship Id="rId3" Type="http://schemas.openxmlformats.org/officeDocument/2006/relationships/image" Target="../media/image23.jpeg"/><Relationship Id="rId7" Type="http://schemas.openxmlformats.org/officeDocument/2006/relationships/image" Target="../media/image26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25.jpeg"/><Relationship Id="rId5" Type="http://schemas.openxmlformats.org/officeDocument/2006/relationships/image" Target="../media/image24.png"/><Relationship Id="rId4" Type="http://schemas.openxmlformats.org/officeDocument/2006/relationships/image" Target="../media/image5.jpeg"/><Relationship Id="rId9" Type="http://schemas.openxmlformats.org/officeDocument/2006/relationships/image" Target="../media/image2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9.png"/><Relationship Id="rId5" Type="http://schemas.openxmlformats.org/officeDocument/2006/relationships/image" Target="../media/image8.jpeg"/><Relationship Id="rId4" Type="http://schemas.openxmlformats.org/officeDocument/2006/relationships/image" Target="../media/image3.jpe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3" Type="http://schemas.openxmlformats.org/officeDocument/2006/relationships/image" Target="../media/image29.jpeg"/><Relationship Id="rId7" Type="http://schemas.openxmlformats.org/officeDocument/2006/relationships/image" Target="../media/image30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Relationship Id="rId9" Type="http://schemas.openxmlformats.org/officeDocument/2006/relationships/image" Target="../media/image31.jpe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3" Type="http://schemas.openxmlformats.org/officeDocument/2006/relationships/image" Target="../media/image29.jpeg"/><Relationship Id="rId7" Type="http://schemas.openxmlformats.org/officeDocument/2006/relationships/image" Target="../media/image30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Relationship Id="rId9" Type="http://schemas.openxmlformats.org/officeDocument/2006/relationships/image" Target="../media/image31.jpe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jpeg"/><Relationship Id="rId3" Type="http://schemas.openxmlformats.org/officeDocument/2006/relationships/image" Target="../media/image23.jpeg"/><Relationship Id="rId7" Type="http://schemas.openxmlformats.org/officeDocument/2006/relationships/image" Target="../media/image26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25.jpeg"/><Relationship Id="rId5" Type="http://schemas.openxmlformats.org/officeDocument/2006/relationships/image" Target="../media/image24.png"/><Relationship Id="rId4" Type="http://schemas.openxmlformats.org/officeDocument/2006/relationships/image" Target="../media/image5.jpeg"/><Relationship Id="rId9" Type="http://schemas.openxmlformats.org/officeDocument/2006/relationships/image" Target="../media/image33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.jpeg"/><Relationship Id="rId7" Type="http://schemas.openxmlformats.org/officeDocument/2006/relationships/image" Target="../media/image3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3" Type="http://schemas.openxmlformats.org/officeDocument/2006/relationships/image" Target="../media/image3.jpe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9.png"/><Relationship Id="rId5" Type="http://schemas.openxmlformats.org/officeDocument/2006/relationships/image" Target="../media/image8.jpeg"/><Relationship Id="rId4" Type="http://schemas.openxmlformats.org/officeDocument/2006/relationships/image" Target="../media/image3.jpe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36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36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3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19.jpe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.jpeg"/><Relationship Id="rId7" Type="http://schemas.openxmlformats.org/officeDocument/2006/relationships/image" Target="../media/image38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6.jpe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39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17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5" Type="http://schemas.openxmlformats.org/officeDocument/2006/relationships/image" Target="../media/image18.png"/><Relationship Id="rId4" Type="http://schemas.openxmlformats.org/officeDocument/2006/relationships/image" Target="../media/image5.jpe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5" Type="http://schemas.openxmlformats.org/officeDocument/2006/relationships/image" Target="../media/image40.png"/><Relationship Id="rId4" Type="http://schemas.openxmlformats.org/officeDocument/2006/relationships/image" Target="../media/image5.jpeg"/></Relationships>
</file>

<file path=xl/drawings/_rels/drawing5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3" Type="http://schemas.openxmlformats.org/officeDocument/2006/relationships/image" Target="../media/image4.jpeg"/><Relationship Id="rId7" Type="http://schemas.openxmlformats.org/officeDocument/2006/relationships/image" Target="../media/image42.pn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41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44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44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44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45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45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10.png"/><Relationship Id="rId4" Type="http://schemas.openxmlformats.org/officeDocument/2006/relationships/image" Target="../media/image2.jpeg"/></Relationships>
</file>

<file path=xl/drawings/_rels/drawing6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3" Type="http://schemas.openxmlformats.org/officeDocument/2006/relationships/image" Target="../media/image7.jpeg"/><Relationship Id="rId7" Type="http://schemas.openxmlformats.org/officeDocument/2006/relationships/image" Target="../media/image30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Relationship Id="rId9" Type="http://schemas.openxmlformats.org/officeDocument/2006/relationships/image" Target="../media/image31.jpeg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3" Type="http://schemas.openxmlformats.org/officeDocument/2006/relationships/image" Target="../media/image7.jpeg"/><Relationship Id="rId7" Type="http://schemas.openxmlformats.org/officeDocument/2006/relationships/image" Target="../media/image30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10" Type="http://schemas.openxmlformats.org/officeDocument/2006/relationships/image" Target="../media/image46.png"/><Relationship Id="rId4" Type="http://schemas.openxmlformats.org/officeDocument/2006/relationships/image" Target="../media/image3.jpeg"/><Relationship Id="rId9" Type="http://schemas.openxmlformats.org/officeDocument/2006/relationships/image" Target="../media/image31.jpeg"/></Relationships>
</file>

<file path=xl/drawings/_rels/drawing6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jpeg"/><Relationship Id="rId3" Type="http://schemas.openxmlformats.org/officeDocument/2006/relationships/image" Target="../media/image23.jpeg"/><Relationship Id="rId7" Type="http://schemas.openxmlformats.org/officeDocument/2006/relationships/image" Target="../media/image26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25.jpeg"/><Relationship Id="rId5" Type="http://schemas.openxmlformats.org/officeDocument/2006/relationships/image" Target="../media/image24.png"/><Relationship Id="rId4" Type="http://schemas.openxmlformats.org/officeDocument/2006/relationships/image" Target="../media/image5.jpeg"/><Relationship Id="rId9" Type="http://schemas.openxmlformats.org/officeDocument/2006/relationships/image" Target="../media/image47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6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jpeg"/><Relationship Id="rId3" Type="http://schemas.openxmlformats.org/officeDocument/2006/relationships/image" Target="../media/image23.jpeg"/><Relationship Id="rId7" Type="http://schemas.openxmlformats.org/officeDocument/2006/relationships/image" Target="../media/image26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25.jpeg"/><Relationship Id="rId5" Type="http://schemas.openxmlformats.org/officeDocument/2006/relationships/image" Target="../media/image24.png"/><Relationship Id="rId4" Type="http://schemas.openxmlformats.org/officeDocument/2006/relationships/image" Target="../media/image5.jpeg"/><Relationship Id="rId9" Type="http://schemas.openxmlformats.org/officeDocument/2006/relationships/image" Target="../media/image48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49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51.pn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50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53.pn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52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3" Type="http://schemas.openxmlformats.org/officeDocument/2006/relationships/image" Target="../media/image7.jpeg"/><Relationship Id="rId7" Type="http://schemas.openxmlformats.org/officeDocument/2006/relationships/image" Target="../media/image30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10" Type="http://schemas.openxmlformats.org/officeDocument/2006/relationships/image" Target="../media/image54.png"/><Relationship Id="rId4" Type="http://schemas.openxmlformats.org/officeDocument/2006/relationships/image" Target="../media/image3.jpeg"/><Relationship Id="rId9" Type="http://schemas.openxmlformats.org/officeDocument/2006/relationships/image" Target="../media/image31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5" Type="http://schemas.openxmlformats.org/officeDocument/2006/relationships/image" Target="../media/image11.png"/><Relationship Id="rId4" Type="http://schemas.openxmlformats.org/officeDocument/2006/relationships/image" Target="../media/image2.jpeg"/></Relationships>
</file>

<file path=xl/drawings/_rels/drawing7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jpeg"/><Relationship Id="rId3" Type="http://schemas.openxmlformats.org/officeDocument/2006/relationships/image" Target="../media/image23.jpeg"/><Relationship Id="rId7" Type="http://schemas.openxmlformats.org/officeDocument/2006/relationships/image" Target="../media/image26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25.jpeg"/><Relationship Id="rId11" Type="http://schemas.openxmlformats.org/officeDocument/2006/relationships/image" Target="../media/image57.png"/><Relationship Id="rId5" Type="http://schemas.openxmlformats.org/officeDocument/2006/relationships/image" Target="../media/image24.png"/><Relationship Id="rId10" Type="http://schemas.openxmlformats.org/officeDocument/2006/relationships/image" Target="../media/image56.png"/><Relationship Id="rId4" Type="http://schemas.openxmlformats.org/officeDocument/2006/relationships/image" Target="../media/image5.jpeg"/><Relationship Id="rId9" Type="http://schemas.openxmlformats.org/officeDocument/2006/relationships/image" Target="../media/image55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58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7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10" Type="http://schemas.openxmlformats.org/officeDocument/2006/relationships/image" Target="../media/image61.png"/><Relationship Id="rId4" Type="http://schemas.openxmlformats.org/officeDocument/2006/relationships/image" Target="../media/image3.jpeg"/><Relationship Id="rId9" Type="http://schemas.openxmlformats.org/officeDocument/2006/relationships/image" Target="../media/image60.png"/></Relationships>
</file>

<file path=xl/drawings/_rels/drawing7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jpeg"/><Relationship Id="rId3" Type="http://schemas.openxmlformats.org/officeDocument/2006/relationships/image" Target="../media/image23.jpeg"/><Relationship Id="rId7" Type="http://schemas.openxmlformats.org/officeDocument/2006/relationships/image" Target="../media/image26.jpeg"/><Relationship Id="rId12" Type="http://schemas.openxmlformats.org/officeDocument/2006/relationships/image" Target="../media/image67.pn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62.jpeg"/><Relationship Id="rId11" Type="http://schemas.openxmlformats.org/officeDocument/2006/relationships/image" Target="../media/image66.png"/><Relationship Id="rId5" Type="http://schemas.openxmlformats.org/officeDocument/2006/relationships/image" Target="../media/image24.png"/><Relationship Id="rId10" Type="http://schemas.openxmlformats.org/officeDocument/2006/relationships/image" Target="../media/image65.png"/><Relationship Id="rId4" Type="http://schemas.openxmlformats.org/officeDocument/2006/relationships/image" Target="../media/image5.jpeg"/><Relationship Id="rId9" Type="http://schemas.openxmlformats.org/officeDocument/2006/relationships/image" Target="../media/image64.png"/></Relationships>
</file>

<file path=xl/drawings/_rels/drawing7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7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0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7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jpeg"/><Relationship Id="rId3" Type="http://schemas.openxmlformats.org/officeDocument/2006/relationships/image" Target="../media/image23.jpeg"/><Relationship Id="rId7" Type="http://schemas.openxmlformats.org/officeDocument/2006/relationships/image" Target="../media/image26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25.jpeg"/><Relationship Id="rId5" Type="http://schemas.openxmlformats.org/officeDocument/2006/relationships/image" Target="../media/image24.png"/><Relationship Id="rId10" Type="http://schemas.openxmlformats.org/officeDocument/2006/relationships/image" Target="../media/image71.png"/><Relationship Id="rId4" Type="http://schemas.openxmlformats.org/officeDocument/2006/relationships/image" Target="../media/image5.jpeg"/><Relationship Id="rId9" Type="http://schemas.openxmlformats.org/officeDocument/2006/relationships/image" Target="../media/image64.pn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8.jpeg"/><Relationship Id="rId4" Type="http://schemas.openxmlformats.org/officeDocument/2006/relationships/image" Target="../media/image3.jpeg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8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3" Type="http://schemas.openxmlformats.org/officeDocument/2006/relationships/image" Target="../media/image7.jpeg"/><Relationship Id="rId7" Type="http://schemas.openxmlformats.org/officeDocument/2006/relationships/image" Target="../media/image7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11" Type="http://schemas.openxmlformats.org/officeDocument/2006/relationships/image" Target="../media/image31.jpeg"/><Relationship Id="rId5" Type="http://schemas.openxmlformats.org/officeDocument/2006/relationships/image" Target="../media/image4.jpeg"/><Relationship Id="rId10" Type="http://schemas.openxmlformats.org/officeDocument/2006/relationships/image" Target="../media/image19.jpeg"/><Relationship Id="rId4" Type="http://schemas.openxmlformats.org/officeDocument/2006/relationships/image" Target="../media/image3.jpeg"/><Relationship Id="rId9" Type="http://schemas.openxmlformats.org/officeDocument/2006/relationships/image" Target="../media/image30.jpe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8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8.jpeg"/><Relationship Id="rId4" Type="http://schemas.openxmlformats.org/officeDocument/2006/relationships/image" Target="../media/image3.jpe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8.jpeg"/><Relationship Id="rId4" Type="http://schemas.openxmlformats.org/officeDocument/2006/relationships/image" Target="../media/image3.jpeg"/></Relationships>
</file>

<file path=xl/drawings/_rels/drawing9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.jpeg"/><Relationship Id="rId5" Type="http://schemas.openxmlformats.org/officeDocument/2006/relationships/image" Target="../media/image74.jpeg"/><Relationship Id="rId4" Type="http://schemas.openxmlformats.org/officeDocument/2006/relationships/image" Target="../media/image3.jpeg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7" Type="http://schemas.openxmlformats.org/officeDocument/2006/relationships/image" Target="../media/image5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.jpeg"/><Relationship Id="rId5" Type="http://schemas.openxmlformats.org/officeDocument/2006/relationships/image" Target="../media/image74.jpeg"/><Relationship Id="rId4" Type="http://schemas.openxmlformats.org/officeDocument/2006/relationships/image" Target="../media/image3.jpe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9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jpeg"/><Relationship Id="rId3" Type="http://schemas.openxmlformats.org/officeDocument/2006/relationships/image" Target="../media/image7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4.jpeg"/><Relationship Id="rId4" Type="http://schemas.openxmlformats.org/officeDocument/2006/relationships/image" Target="../media/image3.jpeg"/></Relationships>
</file>

<file path=xl/drawings/_rels/drawing9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3" Type="http://schemas.openxmlformats.org/officeDocument/2006/relationships/image" Target="../media/image7.jpeg"/><Relationship Id="rId7" Type="http://schemas.openxmlformats.org/officeDocument/2006/relationships/image" Target="../media/image7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11" Type="http://schemas.openxmlformats.org/officeDocument/2006/relationships/image" Target="../media/image31.jpeg"/><Relationship Id="rId5" Type="http://schemas.openxmlformats.org/officeDocument/2006/relationships/image" Target="../media/image4.jpeg"/><Relationship Id="rId10" Type="http://schemas.openxmlformats.org/officeDocument/2006/relationships/image" Target="../media/image19.jpeg"/><Relationship Id="rId4" Type="http://schemas.openxmlformats.org/officeDocument/2006/relationships/image" Target="../media/image3.jpeg"/><Relationship Id="rId9" Type="http://schemas.openxmlformats.org/officeDocument/2006/relationships/image" Target="../media/image30.jpeg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6.jpeg"/><Relationship Id="rId1" Type="http://schemas.openxmlformats.org/officeDocument/2006/relationships/image" Target="../media/image1.jpeg"/><Relationship Id="rId6" Type="http://schemas.openxmlformats.org/officeDocument/2006/relationships/image" Target="../media/image17.pn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9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6" Type="http://schemas.openxmlformats.org/officeDocument/2006/relationships/image" Target="../media/image17.png"/><Relationship Id="rId5" Type="http://schemas.openxmlformats.org/officeDocument/2006/relationships/image" Target="../media/image5.jpeg"/><Relationship Id="rId4" Type="http://schemas.openxmlformats.org/officeDocument/2006/relationships/image" Target="../media/image16.jpeg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5" Type="http://schemas.openxmlformats.org/officeDocument/2006/relationships/image" Target="../media/image18.png"/><Relationship Id="rId4" Type="http://schemas.openxmlformats.org/officeDocument/2006/relationships/image" Target="../media/image5.jpe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5DF640A-FEDA-4735-BC08-EECE9EEB1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E48D18E-B11C-4755-BD69-E723087C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15EDF69-CD04-4DD1-9FA3-3111334E9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250559</xdr:colOff>
      <xdr:row>31</xdr:row>
      <xdr:rowOff>65089</xdr:rowOff>
    </xdr:from>
    <xdr:to>
      <xdr:col>4</xdr:col>
      <xdr:colOff>1260208</xdr:colOff>
      <xdr:row>35</xdr:row>
      <xdr:rowOff>74805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76B06E-3F86-4CEA-B222-A252C419B3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2" y="77168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2EE373D-1C90-45CB-9B9C-9A71A1387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01924D0-1E96-458D-859E-055375178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811692</xdr:colOff>
      <xdr:row>37</xdr:row>
      <xdr:rowOff>13322</xdr:rowOff>
    </xdr:from>
    <xdr:to>
      <xdr:col>4</xdr:col>
      <xdr:colOff>186407</xdr:colOff>
      <xdr:row>42</xdr:row>
      <xdr:rowOff>168510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9337E5-9BD6-4BDF-900D-CDBA9561D9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8755155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C011DC6-2FCE-412E-ADA9-26EA349E2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67CBC42-9A6A-4DB6-A93F-3D55F19A1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9C4472D-1452-46E4-8AAD-DAA0D9D1AF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DF958F-6B7A-4FE5-8BAD-E0FE29FFE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066CDB-620B-4229-81A2-EFBA13B41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208225</xdr:colOff>
      <xdr:row>31</xdr:row>
      <xdr:rowOff>54507</xdr:rowOff>
    </xdr:from>
    <xdr:to>
      <xdr:col>4</xdr:col>
      <xdr:colOff>1217874</xdr:colOff>
      <xdr:row>35</xdr:row>
      <xdr:rowOff>64223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AC7E170-71B0-4460-9958-D299F88B6E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3808" y="770625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0C3CBD-D36F-4247-B134-1D70730A1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95C0CCC-4A82-41E8-82AE-6E0DDA3AF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6E2FDA2-9024-498A-9F02-D5D8F6D93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705862</xdr:colOff>
      <xdr:row>37</xdr:row>
      <xdr:rowOff>55657</xdr:rowOff>
    </xdr:from>
    <xdr:to>
      <xdr:col>4</xdr:col>
      <xdr:colOff>80577</xdr:colOff>
      <xdr:row>43</xdr:row>
      <xdr:rowOff>9762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039E9E-CA5C-4CEC-A977-9994036625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8195" y="8797490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2469022-0AC4-40BB-9163-CF0F2E05A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2954B3E-4801-4795-B85C-507E4F57F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8DE0795-9181-485D-BB96-392ABF3FC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748191</xdr:colOff>
      <xdr:row>37</xdr:row>
      <xdr:rowOff>76823</xdr:rowOff>
    </xdr:from>
    <xdr:to>
      <xdr:col>4</xdr:col>
      <xdr:colOff>227681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FE953F-F3E9-446A-BB08-71586A0FA4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4" y="8818656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192617</xdr:colOff>
      <xdr:row>31</xdr:row>
      <xdr:rowOff>67735</xdr:rowOff>
    </xdr:from>
    <xdr:to>
      <xdr:col>4</xdr:col>
      <xdr:colOff>1202266</xdr:colOff>
      <xdr:row>35</xdr:row>
      <xdr:rowOff>74276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7AFCFA5-A521-4B50-BE58-7424D624A0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2367" y="7719485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9AEA74-F8EF-44B2-89F1-C5A529B58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7555B6-6F13-4337-932B-40F1C4689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70AA6F88-196E-42A4-B192-253DE09A0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D4339CB-012A-4A10-AF75-936B37AFEB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621192</xdr:colOff>
      <xdr:row>37</xdr:row>
      <xdr:rowOff>65181</xdr:rowOff>
    </xdr:from>
    <xdr:to>
      <xdr:col>4</xdr:col>
      <xdr:colOff>99624</xdr:colOff>
      <xdr:row>43</xdr:row>
      <xdr:rowOff>13995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CD4635-7064-4336-A849-4D10E51938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63525" y="8807014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52917</xdr:rowOff>
    </xdr:from>
    <xdr:to>
      <xdr:col>4</xdr:col>
      <xdr:colOff>1292225</xdr:colOff>
      <xdr:row>35</xdr:row>
      <xdr:rowOff>58400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E1236D-8B49-404E-9F73-6644C72C23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04667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473C5AA-67D4-4285-890E-15F3A58F7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F0EABD-8910-4A6F-B7C5-295C336D6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783168</xdr:colOff>
      <xdr:row>26</xdr:row>
      <xdr:rowOff>201084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E03C0884-7D20-4FDE-8D88-E349B8CE3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1" y="7143751"/>
          <a:ext cx="1606220" cy="1333500"/>
        </a:xfrm>
        <a:prstGeom prst="rect">
          <a:avLst/>
        </a:prstGeom>
      </xdr:spPr>
    </xdr:pic>
    <xdr:clientData/>
  </xdr:one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64508A1-4D94-46CF-B9FE-A0BAE44BE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663521</xdr:colOff>
      <xdr:row>37</xdr:row>
      <xdr:rowOff>65178</xdr:rowOff>
    </xdr:from>
    <xdr:to>
      <xdr:col>4</xdr:col>
      <xdr:colOff>141953</xdr:colOff>
      <xdr:row>43</xdr:row>
      <xdr:rowOff>13992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4CE41F-9A3D-4394-B9B2-CECA3A6468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4" y="8807011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314323</xdr:colOff>
      <xdr:row>31</xdr:row>
      <xdr:rowOff>105834</xdr:rowOff>
    </xdr:from>
    <xdr:to>
      <xdr:col>4</xdr:col>
      <xdr:colOff>1323972</xdr:colOff>
      <xdr:row>35</xdr:row>
      <xdr:rowOff>111317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AA07A2-05FE-4632-AC2E-AE24C8482B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4073" y="7757584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6614E4-E063-4137-B583-9BC279392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4F07AC-EC17-41AC-8FC6-1D2E20A7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1071FA5-8616-4ECE-9BE1-1F763CC2C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3A298A6-9EA1-46BF-BE48-17E805E4A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14AAE60-23A6-40A1-93AC-C745AD7B5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9525</xdr:colOff>
      <xdr:row>32</xdr:row>
      <xdr:rowOff>76200</xdr:rowOff>
    </xdr:from>
    <xdr:to>
      <xdr:col>13</xdr:col>
      <xdr:colOff>200025</xdr:colOff>
      <xdr:row>38</xdr:row>
      <xdr:rowOff>43180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E05E1A-BF53-4549-B02B-054DB8FA2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5725" y="79724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621667</xdr:colOff>
      <xdr:row>37</xdr:row>
      <xdr:rowOff>5527</xdr:rowOff>
    </xdr:from>
    <xdr:to>
      <xdr:col>4</xdr:col>
      <xdr:colOff>183291</xdr:colOff>
      <xdr:row>42</xdr:row>
      <xdr:rowOff>197961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4722C8-A4A0-4BC5-86B6-5B6EA16612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7386" y="8828058"/>
          <a:ext cx="2585811" cy="1133028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F165DA-ACE9-4186-9BC4-B63A5AE5E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6AB4E61-C238-4EC6-B91C-583643F99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12</xdr:col>
      <xdr:colOff>371476</xdr:colOff>
      <xdr:row>32</xdr:row>
      <xdr:rowOff>188119</xdr:rowOff>
    </xdr:from>
    <xdr:to>
      <xdr:col>14</xdr:col>
      <xdr:colOff>204788</xdr:colOff>
      <xdr:row>38</xdr:row>
      <xdr:rowOff>155099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2620CC-5AB0-4641-A427-8F5AEA14A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1101" y="8105775"/>
          <a:ext cx="1524000" cy="1050449"/>
        </a:xfrm>
        <a:prstGeom prst="rect">
          <a:avLst/>
        </a:prstGeom>
      </xdr:spPr>
    </xdr:pic>
    <xdr:clientData/>
  </xdr:twoCellAnchor>
  <xdr:twoCellAnchor editAs="oneCell">
    <xdr:from>
      <xdr:col>4</xdr:col>
      <xdr:colOff>249503</xdr:colOff>
      <xdr:row>31</xdr:row>
      <xdr:rowOff>62971</xdr:rowOff>
    </xdr:from>
    <xdr:to>
      <xdr:col>4</xdr:col>
      <xdr:colOff>1259152</xdr:colOff>
      <xdr:row>35</xdr:row>
      <xdr:rowOff>72687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597249-647B-441B-87B0-C6D1BCB607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9409" y="7802034"/>
          <a:ext cx="1009649" cy="735997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66D5B61-5FA2-42CF-AA2F-D139F73A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754857</xdr:colOff>
      <xdr:row>28</xdr:row>
      <xdr:rowOff>1</xdr:rowOff>
    </xdr:from>
    <xdr:ext cx="1466850" cy="1217794"/>
    <xdr:pic>
      <xdr:nvPicPr>
        <xdr:cNvPr id="10" name="Picture 9">
          <a:extLst>
            <a:ext uri="{FF2B5EF4-FFF2-40B4-BE49-F238E27FC236}">
              <a16:creationId xmlns:a16="http://schemas.microsoft.com/office/drawing/2014/main" id="{8258F9CD-4666-421B-A6EE-26E6D8112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6" y="7334251"/>
          <a:ext cx="1466850" cy="1217794"/>
        </a:xfrm>
        <a:prstGeom prst="rect">
          <a:avLst/>
        </a:prstGeom>
      </xdr:spPr>
    </xdr:pic>
    <xdr:clientData/>
  </xdr:one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DA170D1-EAF5-4A1A-A5FC-BB8FDB2D97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CAA08-EA29-43D2-884B-D3672B856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51</xdr:row>
      <xdr:rowOff>185087</xdr:rowOff>
    </xdr:from>
    <xdr:to>
      <xdr:col>3</xdr:col>
      <xdr:colOff>1707416</xdr:colOff>
      <xdr:row>58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805DB2-1F62-4002-B918-56DE60DE8F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2119912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A2B5AE-F8A1-4450-BF8A-1DAF178DA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51</xdr:row>
      <xdr:rowOff>181505</xdr:rowOff>
    </xdr:from>
    <xdr:to>
      <xdr:col>4</xdr:col>
      <xdr:colOff>1344874</xdr:colOff>
      <xdr:row>56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3C82C7-5A3A-4C06-9F0C-351286B013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2116330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AEE239-7234-496A-AF22-3DD27EC27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A163014-9F21-4CA6-9A53-6FACBEB96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418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</xdr:colOff>
      <xdr:row>0</xdr:row>
      <xdr:rowOff>0</xdr:rowOff>
    </xdr:from>
    <xdr:to>
      <xdr:col>17</xdr:col>
      <xdr:colOff>582243</xdr:colOff>
      <xdr:row>14</xdr:row>
      <xdr:rowOff>105833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54475AE-EF6F-43EB-9357-E8798244A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1" y="0"/>
          <a:ext cx="5725742" cy="4127500"/>
        </a:xfrm>
        <a:prstGeom prst="rect">
          <a:avLst/>
        </a:prstGeom>
      </xdr:spPr>
    </xdr:pic>
    <xdr:clientData/>
  </xdr:twoCellAnchor>
  <xdr:twoCellAnchor editAs="oneCell">
    <xdr:from>
      <xdr:col>10</xdr:col>
      <xdr:colOff>84666</xdr:colOff>
      <xdr:row>0</xdr:row>
      <xdr:rowOff>148167</xdr:rowOff>
    </xdr:from>
    <xdr:to>
      <xdr:col>13</xdr:col>
      <xdr:colOff>424709</xdr:colOff>
      <xdr:row>2</xdr:row>
      <xdr:rowOff>167379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44FCB09-A66B-4A51-907B-9511E5E33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37991" y="148167"/>
          <a:ext cx="2283143" cy="1162212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55005DF-661E-4F60-8E4C-1725A92F77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334071-35FD-4D16-B42C-A204320BE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29640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51</xdr:row>
      <xdr:rowOff>185087</xdr:rowOff>
    </xdr:from>
    <xdr:to>
      <xdr:col>3</xdr:col>
      <xdr:colOff>1707416</xdr:colOff>
      <xdr:row>58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B48843-BCFE-40C6-A587-970345D6EF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2062762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07D64FD-586D-4EFD-945E-7B76FCCBB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51</xdr:row>
      <xdr:rowOff>181505</xdr:rowOff>
    </xdr:from>
    <xdr:to>
      <xdr:col>4</xdr:col>
      <xdr:colOff>1344874</xdr:colOff>
      <xdr:row>56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588E03F-B13A-427E-AA32-0073DB78F3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2059180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B8D0AB5-C6AC-4B22-9F75-A09E88285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29640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DCA4E9A-F031-4659-8079-02CDAF843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36108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42334</xdr:colOff>
      <xdr:row>11</xdr:row>
      <xdr:rowOff>63499</xdr:rowOff>
    </xdr:from>
    <xdr:to>
      <xdr:col>18</xdr:col>
      <xdr:colOff>10743</xdr:colOff>
      <xdr:row>28</xdr:row>
      <xdr:rowOff>52916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3E32EE8-10F1-ECA0-2170-C2533BB05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52834" y="3354916"/>
          <a:ext cx="5725742" cy="4127500"/>
        </a:xfrm>
        <a:prstGeom prst="rect">
          <a:avLst/>
        </a:prstGeom>
      </xdr:spPr>
    </xdr:pic>
    <xdr:clientData/>
  </xdr:twoCellAnchor>
  <xdr:twoCellAnchor editAs="oneCell">
    <xdr:from>
      <xdr:col>10</xdr:col>
      <xdr:colOff>84666</xdr:colOff>
      <xdr:row>0</xdr:row>
      <xdr:rowOff>148167</xdr:rowOff>
    </xdr:from>
    <xdr:to>
      <xdr:col>13</xdr:col>
      <xdr:colOff>424709</xdr:colOff>
      <xdr:row>2</xdr:row>
      <xdr:rowOff>167379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B30BAF-9085-84B3-033E-041B76413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51749" y="148167"/>
          <a:ext cx="2276793" cy="1162212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888BB52-6CDF-4559-A553-AEA1ACC3F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B0ACA8-8840-4630-91DA-BE881120D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51</xdr:row>
      <xdr:rowOff>185087</xdr:rowOff>
    </xdr:from>
    <xdr:to>
      <xdr:col>3</xdr:col>
      <xdr:colOff>1707416</xdr:colOff>
      <xdr:row>58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6A380D1-3055-4878-9B38-2E6C6B7F29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0319687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C8C2A8-EAD1-4B44-8458-B371D81D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51</xdr:row>
      <xdr:rowOff>181505</xdr:rowOff>
    </xdr:from>
    <xdr:to>
      <xdr:col>4</xdr:col>
      <xdr:colOff>1344874</xdr:colOff>
      <xdr:row>56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C3CB1E0-CA99-4542-9532-B5B1589C4F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0316105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48043A-982F-4911-A73A-106742900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AF671D2-E1E3-4C8B-B91D-334A47487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8561917"/>
          <a:ext cx="1466850" cy="1217794"/>
        </a:xfrm>
        <a:prstGeom prst="rect">
          <a:avLst/>
        </a:prstGeom>
      </xdr:spPr>
    </xdr:pic>
    <xdr:clientData/>
  </xdr:one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7539608-E496-4739-B067-6B3C2AA84C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4EA744-0F48-4766-A504-94DB0939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353941</xdr:colOff>
      <xdr:row>43</xdr:row>
      <xdr:rowOff>153486</xdr:rowOff>
    </xdr:from>
    <xdr:to>
      <xdr:col>3</xdr:col>
      <xdr:colOff>1707261</xdr:colOff>
      <xdr:row>50</xdr:row>
      <xdr:rowOff>34998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FD6DFC-02A4-47D4-8D11-8AE57A71FE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1" y="101071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A1581D-C075-42A9-A4CE-2443C377D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BF8D72-B8D5-425B-8409-DD21FAF8A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45</xdr:row>
      <xdr:rowOff>55828</xdr:rowOff>
    </xdr:from>
    <xdr:to>
      <xdr:col>4</xdr:col>
      <xdr:colOff>1244864</xdr:colOff>
      <xdr:row>49</xdr:row>
      <xdr:rowOff>75069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B2BCF41-A1B6-49C3-8BC4-478CD99A8A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10380928"/>
          <a:ext cx="1009649" cy="743141"/>
        </a:xfrm>
        <a:prstGeom prst="rect">
          <a:avLst/>
        </a:prstGeom>
      </xdr:spPr>
    </xdr:pic>
    <xdr:clientData/>
  </xdr:twoCellAnchor>
  <xdr:oneCellAnchor>
    <xdr:from>
      <xdr:col>1</xdr:col>
      <xdr:colOff>790575</xdr:colOff>
      <xdr:row>30</xdr:row>
      <xdr:rowOff>47625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961B73D2-2308-4803-9B92-DA4BCBBFA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7581900"/>
          <a:ext cx="1466850" cy="1217794"/>
        </a:xfrm>
        <a:prstGeom prst="rect">
          <a:avLst/>
        </a:prstGeom>
      </xdr:spPr>
    </xdr:pic>
    <xdr:clientData/>
  </xdr:one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9D01568-A984-4529-B007-B72786675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396823</xdr:colOff>
      <xdr:row>42</xdr:row>
      <xdr:rowOff>189010</xdr:rowOff>
    </xdr:from>
    <xdr:to>
      <xdr:col>3</xdr:col>
      <xdr:colOff>1602719</xdr:colOff>
      <xdr:row>49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639B91-56FA-4404-871E-7AAF52F59F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4923" y="9942610"/>
          <a:ext cx="2510821" cy="1106630"/>
        </a:xfrm>
        <a:prstGeom prst="rect">
          <a:avLst/>
        </a:prstGeom>
      </xdr:spPr>
    </xdr:pic>
    <xdr:clientData/>
  </xdr:twoCellAnchor>
  <xdr:twoCellAnchor editAs="oneCell">
    <xdr:from>
      <xdr:col>3</xdr:col>
      <xdr:colOff>1695452</xdr:colOff>
      <xdr:row>45</xdr:row>
      <xdr:rowOff>147636</xdr:rowOff>
    </xdr:from>
    <xdr:to>
      <xdr:col>4</xdr:col>
      <xdr:colOff>978695</xdr:colOff>
      <xdr:row>49</xdr:row>
      <xdr:rowOff>167784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2D1744-6282-4B3D-A83B-6EDE7B6612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38477" y="10472736"/>
          <a:ext cx="1007268" cy="744048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643F6C60-8048-4711-9E98-418EE992C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4400E32-5DBE-4BA5-BEB1-A41BD6B184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8A2CB1-49EB-427D-A902-7CF8F285E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44</xdr:row>
      <xdr:rowOff>185087</xdr:rowOff>
    </xdr:from>
    <xdr:to>
      <xdr:col>3</xdr:col>
      <xdr:colOff>1707416</xdr:colOff>
      <xdr:row>51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8D58BB4-C91C-4424-8A12-A840ADD1C3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0319687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634FA1-53F5-4682-9E2A-34295B384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44</xdr:row>
      <xdr:rowOff>181505</xdr:rowOff>
    </xdr:from>
    <xdr:to>
      <xdr:col>4</xdr:col>
      <xdr:colOff>1344874</xdr:colOff>
      <xdr:row>49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9C582B1-EDD9-401C-8AA7-15B242CA9D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0316105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0A4123C-0C31-41B1-9385-E449B3380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42</xdr:row>
      <xdr:rowOff>84668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83ADFE51-E86E-402E-9A27-3307431F3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1800" y="98382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105834</xdr:colOff>
      <xdr:row>0</xdr:row>
      <xdr:rowOff>0</xdr:rowOff>
    </xdr:from>
    <xdr:to>
      <xdr:col>17</xdr:col>
      <xdr:colOff>74084</xdr:colOff>
      <xdr:row>10</xdr:row>
      <xdr:rowOff>48057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D97A60-ACF9-AD40-4A7D-CBB3B3DAF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16334" y="0"/>
          <a:ext cx="5111750" cy="3096057"/>
        </a:xfrm>
        <a:prstGeom prst="rect">
          <a:avLst/>
        </a:prstGeom>
      </xdr:spPr>
    </xdr:pic>
    <xdr:clientData/>
  </xdr:twoCellAnchor>
  <xdr:twoCellAnchor editAs="oneCell">
    <xdr:from>
      <xdr:col>10</xdr:col>
      <xdr:colOff>211667</xdr:colOff>
      <xdr:row>11</xdr:row>
      <xdr:rowOff>10583</xdr:rowOff>
    </xdr:from>
    <xdr:to>
      <xdr:col>13</xdr:col>
      <xdr:colOff>1037553</xdr:colOff>
      <xdr:row>14</xdr:row>
      <xdr:rowOff>242492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213663-A0C3-EA5E-65B7-3A9CCD065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78750" y="3302000"/>
          <a:ext cx="2762636" cy="962159"/>
        </a:xfrm>
        <a:prstGeom prst="rect">
          <a:avLst/>
        </a:prstGeom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143015</xdr:colOff>
      <xdr:row>42</xdr:row>
      <xdr:rowOff>183329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4BF949-DEB9-499A-B05D-557B55FA08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7458" y="8844057"/>
          <a:ext cx="2507382" cy="1092872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63500</xdr:rowOff>
    </xdr:from>
    <xdr:to>
      <xdr:col>4</xdr:col>
      <xdr:colOff>1292225</xdr:colOff>
      <xdr:row>35</xdr:row>
      <xdr:rowOff>68983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DF8FF36-9269-4FBE-8EE3-AFC9546525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9626" y="7778750"/>
          <a:ext cx="1009649" cy="738908"/>
        </a:xfrm>
        <a:prstGeom prst="rect">
          <a:avLst/>
        </a:prstGeom>
      </xdr:spPr>
    </xdr:pic>
    <xdr:clientData/>
  </xdr:twoCellAnchor>
  <xdr:oneCellAnchor>
    <xdr:from>
      <xdr:col>1</xdr:col>
      <xdr:colOff>836084</xdr:colOff>
      <xdr:row>30</xdr:row>
      <xdr:rowOff>31750</xdr:rowOff>
    </xdr:from>
    <xdr:ext cx="1606220" cy="1333500"/>
    <xdr:pic>
      <xdr:nvPicPr>
        <xdr:cNvPr id="14" name="Picture 13">
          <a:extLst>
            <a:ext uri="{FF2B5EF4-FFF2-40B4-BE49-F238E27FC236}">
              <a16:creationId xmlns:a16="http://schemas.microsoft.com/office/drawing/2014/main" id="{DC90AC00-E931-491D-BD7E-B38F02D8D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417" y="7503583"/>
          <a:ext cx="1606220" cy="1333500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34419D3-2BB2-4FC8-85AA-2BDCCC4C6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B1BD607-2254-41F9-AE2C-C3FF331D2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704319</xdr:colOff>
      <xdr:row>37</xdr:row>
      <xdr:rowOff>3658</xdr:rowOff>
    </xdr:from>
    <xdr:to>
      <xdr:col>4</xdr:col>
      <xdr:colOff>83633</xdr:colOff>
      <xdr:row>42</xdr:row>
      <xdr:rowOff>159577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039135-98D6-4DD3-B4A9-FB6E0AC244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5140" y="8753051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143C02F-D52D-418F-8C73-6C2EDDF87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239976</xdr:colOff>
      <xdr:row>31</xdr:row>
      <xdr:rowOff>83232</xdr:rowOff>
    </xdr:from>
    <xdr:to>
      <xdr:col>4</xdr:col>
      <xdr:colOff>1249625</xdr:colOff>
      <xdr:row>35</xdr:row>
      <xdr:rowOff>92948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52E9C6-C9D1-4187-A911-4E229E6DE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4047" y="7757661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DD3ACB-64A8-4A50-9ECE-9D9BC6DF2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FC8ABE6-5C21-449C-B283-FC244DB21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79ADB9-02DE-4F2B-AFD8-CE825B2CE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353942</xdr:colOff>
      <xdr:row>42</xdr:row>
      <xdr:rowOff>191584</xdr:rowOff>
    </xdr:from>
    <xdr:to>
      <xdr:col>3</xdr:col>
      <xdr:colOff>1707262</xdr:colOff>
      <xdr:row>49</xdr:row>
      <xdr:rowOff>54046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882CCA2-0B1B-4BF4-B23A-ECD396573A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2" y="99451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6A7EEF-00A7-4985-B004-881F557FC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330465</xdr:colOff>
      <xdr:row>44</xdr:row>
      <xdr:rowOff>17728</xdr:rowOff>
    </xdr:from>
    <xdr:to>
      <xdr:col>4</xdr:col>
      <xdr:colOff>1340114</xdr:colOff>
      <xdr:row>48</xdr:row>
      <xdr:rowOff>27444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3CF4EF-F724-44A7-BD8E-779EB50185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7515" y="101523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A60D1E0D-5A35-4D8A-B02D-F2A1F5BD5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687BEE-1A55-4970-BC46-9E2205D2A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219075</xdr:colOff>
      <xdr:row>30</xdr:row>
      <xdr:rowOff>28575</xdr:rowOff>
    </xdr:from>
    <xdr:to>
      <xdr:col>15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690818-BD07-4C05-95EA-3211DEB0C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846437</xdr:colOff>
      <xdr:row>37</xdr:row>
      <xdr:rowOff>15754</xdr:rowOff>
    </xdr:from>
    <xdr:to>
      <xdr:col>4</xdr:col>
      <xdr:colOff>225751</xdr:colOff>
      <xdr:row>42</xdr:row>
      <xdr:rowOff>168649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DAAD07-871F-4E61-AC87-AF753E057C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0" y="875758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232569</xdr:colOff>
      <xdr:row>29</xdr:row>
      <xdr:rowOff>47625</xdr:rowOff>
    </xdr:from>
    <xdr:to>
      <xdr:col>14</xdr:col>
      <xdr:colOff>146074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976994-C253-458B-A27A-A8B766935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282308</xdr:colOff>
      <xdr:row>31</xdr:row>
      <xdr:rowOff>43921</xdr:rowOff>
    </xdr:from>
    <xdr:to>
      <xdr:col>4</xdr:col>
      <xdr:colOff>1291957</xdr:colOff>
      <xdr:row>35</xdr:row>
      <xdr:rowOff>53637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43EF30-FE9C-463B-AE8D-F7003E3CB4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7891" y="769567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219075</xdr:colOff>
      <xdr:row>30</xdr:row>
      <xdr:rowOff>28575</xdr:rowOff>
    </xdr:from>
    <xdr:to>
      <xdr:col>15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8302288-7C93-4106-BDA2-CB1B67C71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43</xdr:row>
      <xdr:rowOff>158752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EC2C31D-8302-4D56-8EDA-05D539569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1004358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116415</xdr:colOff>
      <xdr:row>29</xdr:row>
      <xdr:rowOff>179899</xdr:rowOff>
    </xdr:from>
    <xdr:to>
      <xdr:col>3</xdr:col>
      <xdr:colOff>1093357</xdr:colOff>
      <xdr:row>34</xdr:row>
      <xdr:rowOff>105833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3EC9619-31F9-D468-6B06-8CBD8BCFB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915" y="7471816"/>
          <a:ext cx="1484942" cy="836100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903240A-ADD9-40E7-A626-7A45DE9FCA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60326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CED1B8-7F20-44C6-BD51-4DDEE8408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871451</xdr:colOff>
      <xdr:row>37</xdr:row>
      <xdr:rowOff>115814</xdr:rowOff>
    </xdr:from>
    <xdr:to>
      <xdr:col>4</xdr:col>
      <xdr:colOff>252689</xdr:colOff>
      <xdr:row>43</xdr:row>
      <xdr:rowOff>79172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C04B62-12C1-4DFA-A6B6-7E367A2A19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6087" y="9000041"/>
          <a:ext cx="2515829" cy="1106358"/>
        </a:xfrm>
        <a:prstGeom prst="rect">
          <a:avLst/>
        </a:prstGeom>
      </xdr:spPr>
    </xdr:pic>
    <xdr:clientData/>
  </xdr:twoCellAnchor>
  <xdr:twoCellAnchor editAs="absolute">
    <xdr:from>
      <xdr:col>12</xdr:col>
      <xdr:colOff>789637</xdr:colOff>
      <xdr:row>29</xdr:row>
      <xdr:rowOff>47625</xdr:rowOff>
    </xdr:from>
    <xdr:to>
      <xdr:col>13</xdr:col>
      <xdr:colOff>703142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BFCDAFA-F2E0-4798-90F6-5F59A0F3D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257294</xdr:colOff>
      <xdr:row>31</xdr:row>
      <xdr:rowOff>112232</xdr:rowOff>
    </xdr:from>
    <xdr:to>
      <xdr:col>4</xdr:col>
      <xdr:colOff>1266943</xdr:colOff>
      <xdr:row>35</xdr:row>
      <xdr:rowOff>123873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63741F5-6C3B-410F-B297-4C1E1A8DFC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6521" y="7896755"/>
          <a:ext cx="1009649" cy="747663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60326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E5C900-58F4-4749-8711-E522DCE13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583046</xdr:colOff>
      <xdr:row>34</xdr:row>
      <xdr:rowOff>50031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2F6872BD-2295-4617-9B5D-B1011FDFA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5887" y="8388736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86590</xdr:colOff>
      <xdr:row>30</xdr:row>
      <xdr:rowOff>60614</xdr:rowOff>
    </xdr:from>
    <xdr:to>
      <xdr:col>3</xdr:col>
      <xdr:colOff>1069305</xdr:colOff>
      <xdr:row>34</xdr:row>
      <xdr:rowOff>160691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8A40C0-E9B7-4B07-9CEF-DFFB09B34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0431" y="7663296"/>
          <a:ext cx="1484942" cy="836100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D207258-B444-46E2-A943-0042C9EA66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B945223-AB4D-4A30-85AC-F8C3FDB66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835852</xdr:colOff>
      <xdr:row>36</xdr:row>
      <xdr:rowOff>174506</xdr:rowOff>
    </xdr:from>
    <xdr:to>
      <xdr:col>4</xdr:col>
      <xdr:colOff>215166</xdr:colOff>
      <xdr:row>42</xdr:row>
      <xdr:rowOff>147485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3EB095B-9FEC-4815-B195-3EAC9196F5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5" y="873642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391319</xdr:colOff>
      <xdr:row>29</xdr:row>
      <xdr:rowOff>47625</xdr:rowOff>
    </xdr:from>
    <xdr:to>
      <xdr:col>13</xdr:col>
      <xdr:colOff>304824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CAD32C-28C1-4F28-871F-619F38112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271725</xdr:colOff>
      <xdr:row>31</xdr:row>
      <xdr:rowOff>43921</xdr:rowOff>
    </xdr:from>
    <xdr:to>
      <xdr:col>4</xdr:col>
      <xdr:colOff>1281374</xdr:colOff>
      <xdr:row>35</xdr:row>
      <xdr:rowOff>53637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4791A1A-34A2-4E1E-977C-350FFD10E8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08" y="769567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131A8A-7C50-4E55-A7BC-B3915C3AE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10</xdr:col>
      <xdr:colOff>476251</xdr:colOff>
      <xdr:row>37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ED92817-4C4C-4238-A2BA-95EA2724B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3334" y="88582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E7129D-943F-48F9-93FF-C2043AADE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E3058E-62B1-4799-8244-BA168E9E2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7B5B4A-EAC0-495B-AA61-935C2D09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A6F510-7215-47B6-9B61-FF44FFE8F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105834</xdr:colOff>
      <xdr:row>30</xdr:row>
      <xdr:rowOff>42334</xdr:rowOff>
    </xdr:from>
    <xdr:to>
      <xdr:col>3</xdr:col>
      <xdr:colOff>1082776</xdr:colOff>
      <xdr:row>34</xdr:row>
      <xdr:rowOff>148184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9EE3E0E-F9F8-46BA-BD01-9CECDF9AC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8334" y="7514167"/>
          <a:ext cx="1484942" cy="836100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18E07A2-386F-41D1-9941-5BCC37B8D5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ACBD1A-32D9-4416-A3BB-6BD74A18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857020</xdr:colOff>
      <xdr:row>37</xdr:row>
      <xdr:rowOff>132172</xdr:rowOff>
    </xdr:from>
    <xdr:to>
      <xdr:col>4</xdr:col>
      <xdr:colOff>236334</xdr:colOff>
      <xdr:row>43</xdr:row>
      <xdr:rowOff>83984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C213D8-5765-404E-B4DC-A16E1ED32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3" y="8874005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518319</xdr:colOff>
      <xdr:row>29</xdr:row>
      <xdr:rowOff>47625</xdr:rowOff>
    </xdr:from>
    <xdr:to>
      <xdr:col>13</xdr:col>
      <xdr:colOff>643490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B6BDDE-D370-4424-9C27-B86C5B53C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229392</xdr:colOff>
      <xdr:row>31</xdr:row>
      <xdr:rowOff>75671</xdr:rowOff>
    </xdr:from>
    <xdr:to>
      <xdr:col>4</xdr:col>
      <xdr:colOff>1239041</xdr:colOff>
      <xdr:row>35</xdr:row>
      <xdr:rowOff>85387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0D0EAE-C705-480C-B83A-BA56A90055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5" y="772742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0AA8858-E9C3-48A4-BB4E-8F9CFD35C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5</xdr:col>
      <xdr:colOff>486833</xdr:colOff>
      <xdr:row>42</xdr:row>
      <xdr:rowOff>95251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D11F35B-6673-4BEC-9152-825B8F9C4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916" y="97790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75AA3E4-0134-4A9F-8B03-A07304F0C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15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E8B0A3E-C1DA-414B-8C10-677F182AE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15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148167</xdr:colOff>
      <xdr:row>30</xdr:row>
      <xdr:rowOff>21168</xdr:rowOff>
    </xdr:from>
    <xdr:to>
      <xdr:col>3</xdr:col>
      <xdr:colOff>1125109</xdr:colOff>
      <xdr:row>34</xdr:row>
      <xdr:rowOff>127018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5985A1-D069-4473-B11D-C957048AB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142" y="7555443"/>
          <a:ext cx="1481767" cy="839275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7DE117B-8680-4C83-810D-AD9C8A7C8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5E621A-3F78-4A58-ADC9-B666FD1F2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835852</xdr:colOff>
      <xdr:row>37</xdr:row>
      <xdr:rowOff>111004</xdr:rowOff>
    </xdr:from>
    <xdr:to>
      <xdr:col>4</xdr:col>
      <xdr:colOff>215166</xdr:colOff>
      <xdr:row>43</xdr:row>
      <xdr:rowOff>62816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CE72BA-C18D-4786-B29D-C3D54246F8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5" y="88528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423069</xdr:colOff>
      <xdr:row>29</xdr:row>
      <xdr:rowOff>47625</xdr:rowOff>
    </xdr:from>
    <xdr:to>
      <xdr:col>13</xdr:col>
      <xdr:colOff>548240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9E95BF-682E-4B5C-96C6-141F1C638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314059</xdr:colOff>
      <xdr:row>31</xdr:row>
      <xdr:rowOff>86255</xdr:rowOff>
    </xdr:from>
    <xdr:to>
      <xdr:col>4</xdr:col>
      <xdr:colOff>1323708</xdr:colOff>
      <xdr:row>35</xdr:row>
      <xdr:rowOff>95971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9CB73D-C6F9-4237-9BB0-A0B7E90BB0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2" y="7738005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363BDD-88BE-4006-B3E9-A499F90CB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328084</xdr:colOff>
      <xdr:row>44</xdr:row>
      <xdr:rowOff>105834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89FF9CC-5A2A-473E-BFC0-3940E6D9D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8584" y="1017058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148167</xdr:colOff>
      <xdr:row>30</xdr:row>
      <xdr:rowOff>21168</xdr:rowOff>
    </xdr:from>
    <xdr:to>
      <xdr:col>3</xdr:col>
      <xdr:colOff>1125109</xdr:colOff>
      <xdr:row>34</xdr:row>
      <xdr:rowOff>127018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22EFB48-08DF-480A-9866-70BA97289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0667" y="7493001"/>
          <a:ext cx="1484942" cy="836100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9A9D4F0-9681-40DD-8344-03DFD9D4A0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1F90C27-1AD3-42EF-B47D-BF69ABF12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751186</xdr:colOff>
      <xdr:row>37</xdr:row>
      <xdr:rowOff>47504</xdr:rowOff>
    </xdr:from>
    <xdr:to>
      <xdr:col>4</xdr:col>
      <xdr:colOff>130500</xdr:colOff>
      <xdr:row>42</xdr:row>
      <xdr:rowOff>200399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FF9C1FB-1772-4D8B-9A6F-3120B69AD9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3519" y="8789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613569</xdr:colOff>
      <xdr:row>29</xdr:row>
      <xdr:rowOff>47625</xdr:rowOff>
    </xdr:from>
    <xdr:to>
      <xdr:col>13</xdr:col>
      <xdr:colOff>738740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A870D8-17F8-49D4-B05B-0EAD7BAF8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250558</xdr:colOff>
      <xdr:row>31</xdr:row>
      <xdr:rowOff>118005</xdr:rowOff>
    </xdr:from>
    <xdr:to>
      <xdr:col>4</xdr:col>
      <xdr:colOff>1260207</xdr:colOff>
      <xdr:row>35</xdr:row>
      <xdr:rowOff>127721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5749CD-EE70-450D-B3FE-4618554559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1" y="7769755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126180E-8463-4120-9017-8B769350B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4</xdr:col>
      <xdr:colOff>211668</xdr:colOff>
      <xdr:row>47</xdr:row>
      <xdr:rowOff>74085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4463B58E-DFB9-4702-BB49-3926026F5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7251" y="10689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31750</xdr:colOff>
      <xdr:row>30</xdr:row>
      <xdr:rowOff>1</xdr:rowOff>
    </xdr:from>
    <xdr:to>
      <xdr:col>3</xdr:col>
      <xdr:colOff>1008692</xdr:colOff>
      <xdr:row>34</xdr:row>
      <xdr:rowOff>105851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F2D6BF-96BE-46B4-8636-686702BAF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250" y="7471834"/>
          <a:ext cx="1484942" cy="836100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9A7C83E-A79D-4091-B7D3-9F5CBEBDB5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0D73D-456D-4E21-AF22-E62E03FC3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857020</xdr:colOff>
      <xdr:row>37</xdr:row>
      <xdr:rowOff>79252</xdr:rowOff>
    </xdr:from>
    <xdr:to>
      <xdr:col>4</xdr:col>
      <xdr:colOff>236334</xdr:colOff>
      <xdr:row>43</xdr:row>
      <xdr:rowOff>31064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3DDE3C3-4E65-4392-A950-00AF061FAB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3" y="8821085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560652</xdr:colOff>
      <xdr:row>29</xdr:row>
      <xdr:rowOff>47625</xdr:rowOff>
    </xdr:from>
    <xdr:to>
      <xdr:col>13</xdr:col>
      <xdr:colOff>685824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DCA43C-0F0B-4FF4-A3D6-B5B31A833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271725</xdr:colOff>
      <xdr:row>31</xdr:row>
      <xdr:rowOff>65088</xdr:rowOff>
    </xdr:from>
    <xdr:to>
      <xdr:col>4</xdr:col>
      <xdr:colOff>1281374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A05E9CF-524B-4B6A-8229-444B0474A5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08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6599D79-8052-4C55-AE68-A623C6777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44</xdr:row>
      <xdr:rowOff>21168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25BA045-4AC8-4E4B-8A47-F29AC671B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1008591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137584</xdr:colOff>
      <xdr:row>30</xdr:row>
      <xdr:rowOff>74084</xdr:rowOff>
    </xdr:from>
    <xdr:to>
      <xdr:col>3</xdr:col>
      <xdr:colOff>1114526</xdr:colOff>
      <xdr:row>35</xdr:row>
      <xdr:rowOff>17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CBA3870-BF8E-4904-9F77-C8E4AE65D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0084" y="7545917"/>
          <a:ext cx="1484942" cy="836100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FB0591D-FB07-46CE-BBBD-61C07BA659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427798-70E2-46E7-8425-B9143F6DA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857019</xdr:colOff>
      <xdr:row>37</xdr:row>
      <xdr:rowOff>68672</xdr:rowOff>
    </xdr:from>
    <xdr:to>
      <xdr:col>4</xdr:col>
      <xdr:colOff>236333</xdr:colOff>
      <xdr:row>43</xdr:row>
      <xdr:rowOff>20484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796010-1900-478F-95C5-9F5C039510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2" y="8810505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327819</xdr:colOff>
      <xdr:row>29</xdr:row>
      <xdr:rowOff>47625</xdr:rowOff>
    </xdr:from>
    <xdr:to>
      <xdr:col>13</xdr:col>
      <xdr:colOff>452990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55DC1F-6A2F-4947-96DC-B2A026FEB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271725</xdr:colOff>
      <xdr:row>31</xdr:row>
      <xdr:rowOff>118005</xdr:rowOff>
    </xdr:from>
    <xdr:to>
      <xdr:col>4</xdr:col>
      <xdr:colOff>1281374</xdr:colOff>
      <xdr:row>35</xdr:row>
      <xdr:rowOff>127721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AE5817-556B-4D20-BE4D-8294F7945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08" y="7769755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93768D-2DE9-4771-9D45-B5B970E02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5</xdr:col>
      <xdr:colOff>444500</xdr:colOff>
      <xdr:row>44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EC3EB81-76AC-495E-A991-0D532E503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7583" y="10181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127000</xdr:colOff>
      <xdr:row>30</xdr:row>
      <xdr:rowOff>10583</xdr:rowOff>
    </xdr:from>
    <xdr:to>
      <xdr:col>3</xdr:col>
      <xdr:colOff>1103942</xdr:colOff>
      <xdr:row>34</xdr:row>
      <xdr:rowOff>116433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6E71F50-DA78-400F-8F11-9514A9041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9500" y="7482416"/>
          <a:ext cx="1484942" cy="836100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6034890-1BD8-44C9-9735-66864FBBCC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8594CE-0DBA-4EF2-BA13-11EC0D5CDF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9247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EB58EFE-DF0B-43F8-A99F-2C5CAFE380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731917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14EE71FB-3BAE-43B8-8FEE-C9A8DEB8D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3BF5AE6-83AD-462F-8151-A165D89BC3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599230</xdr:colOff>
      <xdr:row>36</xdr:row>
      <xdr:rowOff>165196</xdr:rowOff>
    </xdr:from>
    <xdr:to>
      <xdr:col>4</xdr:col>
      <xdr:colOff>78720</xdr:colOff>
      <xdr:row>42</xdr:row>
      <xdr:rowOff>143114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2CA4EE-AE34-4517-B8E8-F8A370340E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34949" y="8809134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31</xdr:row>
      <xdr:rowOff>76198</xdr:rowOff>
    </xdr:from>
    <xdr:to>
      <xdr:col>4</xdr:col>
      <xdr:colOff>1181101</xdr:colOff>
      <xdr:row>35</xdr:row>
      <xdr:rowOff>84440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A0E722-E10C-460D-94B4-4D04EDCC19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31358" y="7815261"/>
          <a:ext cx="1009649" cy="734523"/>
        </a:xfrm>
        <a:prstGeom prst="rect">
          <a:avLst/>
        </a:prstGeom>
      </xdr:spPr>
    </xdr:pic>
    <xdr:clientData/>
  </xdr:twoCellAnchor>
  <xdr:oneCellAnchor>
    <xdr:from>
      <xdr:col>5</xdr:col>
      <xdr:colOff>964405</xdr:colOff>
      <xdr:row>43</xdr:row>
      <xdr:rowOff>0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0AE5DE64-B208-449E-A885-C3046E3D5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2130" y="9953625"/>
          <a:ext cx="1583531" cy="1314664"/>
        </a:xfrm>
        <a:prstGeom prst="rect">
          <a:avLst/>
        </a:prstGeom>
      </xdr:spPr>
    </xdr:pic>
    <xdr:clientData/>
  </xdr:one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DD62DF-3615-44F4-A3C7-C1F53C5A1E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695275</xdr:colOff>
      <xdr:row>37</xdr:row>
      <xdr:rowOff>97991</xdr:rowOff>
    </xdr:from>
    <xdr:to>
      <xdr:col>4</xdr:col>
      <xdr:colOff>174765</xdr:colOff>
      <xdr:row>43</xdr:row>
      <xdr:rowOff>52096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4015F9-175E-4D60-828D-70F87421C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37608" y="883982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340784</xdr:colOff>
      <xdr:row>31</xdr:row>
      <xdr:rowOff>35985</xdr:rowOff>
    </xdr:from>
    <xdr:to>
      <xdr:col>4</xdr:col>
      <xdr:colOff>1350433</xdr:colOff>
      <xdr:row>35</xdr:row>
      <xdr:rowOff>42526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032FA0-7EF4-482A-A939-3E1FC9C050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4" y="7687735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C0D229-024F-4FCA-A628-9C1AA1941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91C103-F4DD-4436-990A-9B6B769FE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BACD3E8E-80CB-4599-81C5-2347C6BF2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F79C875-3C48-484B-A470-0C479042AD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247790</xdr:colOff>
      <xdr:row>42</xdr:row>
      <xdr:rowOff>183329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3321B5-2682-4463-9D06-3B46C7AE0A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1" y="877526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63500</xdr:rowOff>
    </xdr:from>
    <xdr:to>
      <xdr:col>4</xdr:col>
      <xdr:colOff>1292225</xdr:colOff>
      <xdr:row>35</xdr:row>
      <xdr:rowOff>68983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2F05B7-F34D-4C3A-B84A-D6A525C62C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15250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58474-9F3F-4124-8186-98E953CD6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088E13-A750-4173-A9EC-2DFEC559B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719668</xdr:colOff>
      <xdr:row>29</xdr:row>
      <xdr:rowOff>137584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097EFD43-86BA-456F-95A6-F10E01B2F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1" y="7429501"/>
          <a:ext cx="1606220" cy="1333500"/>
        </a:xfrm>
        <a:prstGeom prst="rect">
          <a:avLst/>
        </a:prstGeom>
      </xdr:spPr>
    </xdr:pic>
    <xdr:clientData/>
  </xdr:one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9FB4463-B1BF-4006-8823-A6955EE980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39104</xdr:colOff>
      <xdr:row>37</xdr:row>
      <xdr:rowOff>139262</xdr:rowOff>
    </xdr:from>
    <xdr:to>
      <xdr:col>4</xdr:col>
      <xdr:colOff>321870</xdr:colOff>
      <xdr:row>43</xdr:row>
      <xdr:rowOff>88076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B3E3C6-DEE4-445F-ADA2-497CFC278B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5771" y="888109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282574</xdr:colOff>
      <xdr:row>31</xdr:row>
      <xdr:rowOff>21168</xdr:rowOff>
    </xdr:from>
    <xdr:to>
      <xdr:col>4</xdr:col>
      <xdr:colOff>1292223</xdr:colOff>
      <xdr:row>35</xdr:row>
      <xdr:rowOff>26651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2F14CC-DD35-4C95-A318-0A35AD3322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4" y="7672918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F241F9B-B8ED-4C2B-ADAB-6EEBEDA2A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AEF1B6D-30BC-4AA2-9DAB-572EDF695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E095B6-D15B-49CD-8A4D-0AEDE6C9F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F8C6DAD-4777-429B-8DB9-C85FAA085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7597286-1852-497F-A358-D69E64919C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587324</xdr:colOff>
      <xdr:row>42</xdr:row>
      <xdr:rowOff>177102</xdr:rowOff>
    </xdr:from>
    <xdr:to>
      <xdr:col>4</xdr:col>
      <xdr:colOff>66814</xdr:colOff>
      <xdr:row>48</xdr:row>
      <xdr:rowOff>166926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25F664-9144-4C7A-8524-F45617000B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3043" y="994022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290513</xdr:colOff>
      <xdr:row>43</xdr:row>
      <xdr:rowOff>135730</xdr:rowOff>
    </xdr:from>
    <xdr:to>
      <xdr:col>4</xdr:col>
      <xdr:colOff>1300162</xdr:colOff>
      <xdr:row>47</xdr:row>
      <xdr:rowOff>143971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B6978F-A599-4EB6-8678-40A9CDF119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19" y="10101261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E1423B8B-3D6F-4CC4-A86A-30A655D75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10</xdr:col>
      <xdr:colOff>202407</xdr:colOff>
      <xdr:row>13</xdr:row>
      <xdr:rowOff>202406</xdr:rowOff>
    </xdr:from>
    <xdr:to>
      <xdr:col>17</xdr:col>
      <xdr:colOff>376965</xdr:colOff>
      <xdr:row>38</xdr:row>
      <xdr:rowOff>65003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FEA582F-8C04-A0E9-A481-F3A9C297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3813" y="3988594"/>
          <a:ext cx="5210902" cy="5077534"/>
        </a:xfrm>
        <a:prstGeom prst="rect">
          <a:avLst/>
        </a:prstGeom>
      </xdr:spPr>
    </xdr:pic>
    <xdr:clientData/>
  </xdr:twoCellAnchor>
  <xdr:twoCellAnchor editAs="oneCell">
    <xdr:from>
      <xdr:col>9</xdr:col>
      <xdr:colOff>1607344</xdr:colOff>
      <xdr:row>0</xdr:row>
      <xdr:rowOff>238125</xdr:rowOff>
    </xdr:from>
    <xdr:to>
      <xdr:col>18</xdr:col>
      <xdr:colOff>198464</xdr:colOff>
      <xdr:row>13</xdr:row>
      <xdr:rowOff>195784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673371F-780C-CFAE-7FD4-4B1A78F3D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05688" y="238125"/>
          <a:ext cx="5877745" cy="3743847"/>
        </a:xfrm>
        <a:prstGeom prst="rect">
          <a:avLst/>
        </a:prstGeom>
      </xdr:spPr>
    </xdr:pic>
    <xdr:clientData/>
  </xdr:twoCellAnchor>
  <xdr:twoCellAnchor editAs="oneCell">
    <xdr:from>
      <xdr:col>17</xdr:col>
      <xdr:colOff>595314</xdr:colOff>
      <xdr:row>0</xdr:row>
      <xdr:rowOff>0</xdr:rowOff>
    </xdr:from>
    <xdr:to>
      <xdr:col>23</xdr:col>
      <xdr:colOff>324322</xdr:colOff>
      <xdr:row>11</xdr:row>
      <xdr:rowOff>248143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76857E-26A1-1D3C-85C2-0EC7C4B32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073064" y="0"/>
          <a:ext cx="3372321" cy="3534268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08872E1-7BD3-448E-AB01-3B76BD8370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646855</xdr:colOff>
      <xdr:row>37</xdr:row>
      <xdr:rowOff>46135</xdr:rowOff>
    </xdr:from>
    <xdr:to>
      <xdr:col>4</xdr:col>
      <xdr:colOff>126345</xdr:colOff>
      <xdr:row>43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DD904-52FA-4C61-A873-0B4BC789B1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82574" y="8868666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31</xdr:row>
      <xdr:rowOff>100011</xdr:rowOff>
    </xdr:from>
    <xdr:to>
      <xdr:col>4</xdr:col>
      <xdr:colOff>1300163</xdr:colOff>
      <xdr:row>35</xdr:row>
      <xdr:rowOff>108253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60E803-F2C7-4089-BE5F-257D192FBF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839074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BF299A35-0C79-4831-8867-90D99D22E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119062</xdr:colOff>
      <xdr:row>1</xdr:row>
      <xdr:rowOff>166688</xdr:rowOff>
    </xdr:from>
    <xdr:to>
      <xdr:col>17</xdr:col>
      <xdr:colOff>286441</xdr:colOff>
      <xdr:row>21</xdr:row>
      <xdr:rowOff>651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77AED40-E8BB-EE55-69FE-D0B1BC232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0500" y="1119188"/>
          <a:ext cx="4953691" cy="4667901"/>
        </a:xfrm>
        <a:prstGeom prst="rect">
          <a:avLst/>
        </a:prstGeom>
      </xdr:spPr>
    </xdr:pic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8B3CB28-F7A3-40BF-820C-8DD82494D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E13189-BF71-460A-A8D5-8741DE1A5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563492</xdr:colOff>
      <xdr:row>36</xdr:row>
      <xdr:rowOff>163008</xdr:rowOff>
    </xdr:from>
    <xdr:to>
      <xdr:col>4</xdr:col>
      <xdr:colOff>192787</xdr:colOff>
      <xdr:row>42</xdr:row>
      <xdr:rowOff>196920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566A71-043A-4DF2-8931-63CCC07DBB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01592" y="879265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F85981-5D79-4D53-A112-1B306639B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339990</xdr:colOff>
      <xdr:row>31</xdr:row>
      <xdr:rowOff>55828</xdr:rowOff>
    </xdr:from>
    <xdr:to>
      <xdr:col>4</xdr:col>
      <xdr:colOff>1349639</xdr:colOff>
      <xdr:row>35</xdr:row>
      <xdr:rowOff>65544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2CF369-47F7-4D51-9D4E-23382A864F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7040" y="77710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BAB6843F-5BA8-442F-AD8C-4F5725642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D93C2C4-5B53-4996-B80B-E5FB4AA02E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589689</xdr:colOff>
      <xdr:row>37</xdr:row>
      <xdr:rowOff>24898</xdr:rowOff>
    </xdr:from>
    <xdr:to>
      <xdr:col>4</xdr:col>
      <xdr:colOff>218984</xdr:colOff>
      <xdr:row>43</xdr:row>
      <xdr:rowOff>39760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9907D2-2B64-4EB4-B853-B0A3590CD0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5408" y="8847429"/>
          <a:ext cx="2653482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DBC9353-9BC5-4E36-9259-27624ACB2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256647</xdr:colOff>
      <xdr:row>31</xdr:row>
      <xdr:rowOff>70117</xdr:rowOff>
    </xdr:from>
    <xdr:to>
      <xdr:col>4</xdr:col>
      <xdr:colOff>1266296</xdr:colOff>
      <xdr:row>35</xdr:row>
      <xdr:rowOff>79833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912F453-0E4B-41A7-AFF1-69E95E889F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6553" y="7809180"/>
          <a:ext cx="1009649" cy="735997"/>
        </a:xfrm>
        <a:prstGeom prst="rect">
          <a:avLst/>
        </a:prstGeom>
      </xdr:spPr>
    </xdr:pic>
    <xdr:clientData/>
  </xdr:twoCellAnchor>
  <xdr:oneCellAnchor>
    <xdr:from>
      <xdr:col>2</xdr:col>
      <xdr:colOff>23812</xdr:colOff>
      <xdr:row>26</xdr:row>
      <xdr:rowOff>226219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D4FB19E2-3BF1-4E32-914A-AD31DC263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" y="7236619"/>
          <a:ext cx="1466850" cy="1217794"/>
        </a:xfrm>
        <a:prstGeom prst="rect">
          <a:avLst/>
        </a:prstGeom>
      </xdr:spPr>
    </xdr:pic>
    <xdr:clientData/>
  </xdr:one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28FB66B-D6B9-42A9-9AFB-A69A867271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F5A5E2-B26F-4CA3-934B-6D9234709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353942</xdr:colOff>
      <xdr:row>42</xdr:row>
      <xdr:rowOff>191584</xdr:rowOff>
    </xdr:from>
    <xdr:to>
      <xdr:col>3</xdr:col>
      <xdr:colOff>1707262</xdr:colOff>
      <xdr:row>49</xdr:row>
      <xdr:rowOff>54046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A842D62-10A2-4B72-949E-8B56C05F83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2" y="99451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BB0567-A416-48A7-8F68-4DFE287AE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330465</xdr:colOff>
      <xdr:row>44</xdr:row>
      <xdr:rowOff>17728</xdr:rowOff>
    </xdr:from>
    <xdr:to>
      <xdr:col>4</xdr:col>
      <xdr:colOff>1340114</xdr:colOff>
      <xdr:row>48</xdr:row>
      <xdr:rowOff>27444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64F400F-A0F5-4B98-91F7-F32553D459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7515" y="101523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3FBC0FC5-0A9B-4966-9930-90E8F2D11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3903264-6B21-4B52-AD90-193A3437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62A95E4-F89F-4D63-998F-9EE59B2C1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3</xdr:col>
      <xdr:colOff>1258817</xdr:colOff>
      <xdr:row>35</xdr:row>
      <xdr:rowOff>1082</xdr:rowOff>
    </xdr:from>
    <xdr:to>
      <xdr:col>5</xdr:col>
      <xdr:colOff>602362</xdr:colOff>
      <xdr:row>41</xdr:row>
      <xdr:rowOff>34994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ED5CB4-D4DD-4A1D-AA89-1A8BD8B6AD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2601842" y="8449757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34E3F1-BEDC-4C5F-B940-E14D79377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74878</xdr:rowOff>
    </xdr:from>
    <xdr:to>
      <xdr:col>4</xdr:col>
      <xdr:colOff>1263914</xdr:colOff>
      <xdr:row>35</xdr:row>
      <xdr:rowOff>84594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D98B883-5ACA-436F-884C-BEE57ECD36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901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266700</xdr:colOff>
      <xdr:row>21</xdr:row>
      <xdr:rowOff>76200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5F43906-C572-4FE6-99E9-38C31BFD1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58483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95249</xdr:colOff>
      <xdr:row>0</xdr:row>
      <xdr:rowOff>66675</xdr:rowOff>
    </xdr:from>
    <xdr:to>
      <xdr:col>15</xdr:col>
      <xdr:colOff>133349</xdr:colOff>
      <xdr:row>12</xdr:row>
      <xdr:rowOff>148955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F8EF6F0-B22D-6CB7-7968-D68C2F8C3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3799" y="66675"/>
          <a:ext cx="3686175" cy="3625580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13</xdr:row>
      <xdr:rowOff>19050</xdr:rowOff>
    </xdr:from>
    <xdr:to>
      <xdr:col>15</xdr:col>
      <xdr:colOff>152917</xdr:colOff>
      <xdr:row>21</xdr:row>
      <xdr:rowOff>162221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79BE811-37B4-7E4C-3889-91DF0C57C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43800" y="3810000"/>
          <a:ext cx="3705742" cy="2124371"/>
        </a:xfrm>
        <a:prstGeom prst="rect">
          <a:avLst/>
        </a:prstGeom>
      </xdr:spPr>
    </xdr:pic>
    <xdr:clientData/>
  </xdr:two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84B6E43-1A25-4E46-9906-22799DBBB1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17C25F-0B2A-488E-AFB9-FF3C89667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761770</xdr:colOff>
      <xdr:row>30</xdr:row>
      <xdr:rowOff>68671</xdr:rowOff>
    </xdr:from>
    <xdr:to>
      <xdr:col>4</xdr:col>
      <xdr:colOff>141084</xdr:colOff>
      <xdr:row>36</xdr:row>
      <xdr:rowOff>73399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B260A69-4452-49FB-921A-566F7921B4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4103" y="75405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FCF120-DA3E-4638-A99D-3B76154E0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31</xdr:row>
      <xdr:rowOff>65088</xdr:rowOff>
    </xdr:from>
    <xdr:to>
      <xdr:col>4</xdr:col>
      <xdr:colOff>1344874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FD528E9-A890-4E2B-98FB-EC659C7222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08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733285-BEF2-4D30-BB04-7AD2E9ACD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42</xdr:row>
      <xdr:rowOff>84668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8896D98-35E4-4B29-A656-2643FE87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976841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2</xdr:row>
      <xdr:rowOff>0</xdr:rowOff>
    </xdr:from>
    <xdr:to>
      <xdr:col>15</xdr:col>
      <xdr:colOff>663134</xdr:colOff>
      <xdr:row>18</xdr:row>
      <xdr:rowOff>91567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193472-45F5-AEFC-E69A-51C8135B4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0" y="1143000"/>
          <a:ext cx="4420217" cy="39439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3CBB3E9-D40D-42CA-8872-D0E0DF5C5B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C0DF3B-C6B2-474B-B3DE-6A58AB3C6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6E6846B-5F92-465C-87CA-ECD7EDBE4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356393</xdr:colOff>
      <xdr:row>45</xdr:row>
      <xdr:rowOff>86256</xdr:rowOff>
    </xdr:from>
    <xdr:to>
      <xdr:col>4</xdr:col>
      <xdr:colOff>1366042</xdr:colOff>
      <xdr:row>49</xdr:row>
      <xdr:rowOff>106555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54DFF5A-0BA1-4533-8BC6-7D5179EF0D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41976" y="1034150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A9D8098-4B82-4487-8ACF-A022F8278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8C4CF90-FE97-4006-AB93-2228DEBD0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4A32AA4-69DE-41A2-8667-C6ADFC77A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769360</xdr:colOff>
      <xdr:row>45</xdr:row>
      <xdr:rowOff>13326</xdr:rowOff>
    </xdr:from>
    <xdr:to>
      <xdr:col>4</xdr:col>
      <xdr:colOff>144075</xdr:colOff>
      <xdr:row>51</xdr:row>
      <xdr:rowOff>30931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ABA7A06-3443-4BF5-A3C6-4D5CA96FF0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3" y="10268576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112EE16-F7F3-479E-890D-56CF2988B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04F24A-8731-417C-8551-2856452A8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DD22965-B19E-43D1-B077-F856A5FBF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396823</xdr:colOff>
      <xdr:row>42</xdr:row>
      <xdr:rowOff>189010</xdr:rowOff>
    </xdr:from>
    <xdr:to>
      <xdr:col>3</xdr:col>
      <xdr:colOff>1602719</xdr:colOff>
      <xdr:row>49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EF404D-833D-4B4F-8E13-E534DC13A4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2542" y="9952135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3</xdr:col>
      <xdr:colOff>1695452</xdr:colOff>
      <xdr:row>45</xdr:row>
      <xdr:rowOff>147636</xdr:rowOff>
    </xdr:from>
    <xdr:to>
      <xdr:col>4</xdr:col>
      <xdr:colOff>978695</xdr:colOff>
      <xdr:row>49</xdr:row>
      <xdr:rowOff>167784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3ACA66-D98A-4A15-A1EC-6EA3A097BC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28952" y="10482261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C10C9044-91AF-4C17-8055-B3670C589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BE4D9C5-4DBF-479B-B940-2805EAED9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E968D9-29DA-448D-8615-6A3B00255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804103</xdr:colOff>
      <xdr:row>37</xdr:row>
      <xdr:rowOff>58090</xdr:rowOff>
    </xdr:from>
    <xdr:to>
      <xdr:col>4</xdr:col>
      <xdr:colOff>183417</xdr:colOff>
      <xdr:row>43</xdr:row>
      <xdr:rowOff>9902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A20FAD-9771-4826-8A9B-85BF934DE7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6436" y="879992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BA38F03-2A87-43C1-827B-4F3523A514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282309</xdr:colOff>
      <xdr:row>31</xdr:row>
      <xdr:rowOff>65087</xdr:rowOff>
    </xdr:from>
    <xdr:to>
      <xdr:col>4</xdr:col>
      <xdr:colOff>1291958</xdr:colOff>
      <xdr:row>35</xdr:row>
      <xdr:rowOff>74803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8CE5D1-D2BC-41FF-95F1-6B73838B9D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7892" y="771683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B3C1F7-A1F9-464A-ACBD-9EF88AC25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2</xdr:col>
      <xdr:colOff>21166</xdr:colOff>
      <xdr:row>27</xdr:row>
      <xdr:rowOff>21168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12BA47EA-D095-4B99-8CC1-2B314919C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141" y="7279218"/>
          <a:ext cx="1466850" cy="1217794"/>
        </a:xfrm>
        <a:prstGeom prst="rect">
          <a:avLst/>
        </a:prstGeom>
      </xdr:spPr>
    </xdr:pic>
    <xdr:clientData/>
  </xdr:one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1BBE356-0E04-4A26-93A2-5F4FDF0991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E589A4-62EE-408E-8C98-C8F0B7F90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835854</xdr:colOff>
      <xdr:row>37</xdr:row>
      <xdr:rowOff>89839</xdr:rowOff>
    </xdr:from>
    <xdr:to>
      <xdr:col>4</xdr:col>
      <xdr:colOff>215168</xdr:colOff>
      <xdr:row>43</xdr:row>
      <xdr:rowOff>41651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CE7328-F183-4C0C-B43C-FE2F472895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7" y="8831672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73E833-BF91-4B48-8A5D-5D3A28DA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314058</xdr:colOff>
      <xdr:row>31</xdr:row>
      <xdr:rowOff>12172</xdr:rowOff>
    </xdr:from>
    <xdr:to>
      <xdr:col>4</xdr:col>
      <xdr:colOff>1323707</xdr:colOff>
      <xdr:row>35</xdr:row>
      <xdr:rowOff>21888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8C58D9-40E8-4CCC-8A0E-D1C06CCE03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1" y="76639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62E5A67-893E-40D1-93E2-921F8C191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2</xdr:col>
      <xdr:colOff>21166</xdr:colOff>
      <xdr:row>27</xdr:row>
      <xdr:rowOff>21168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43526A2-DAF7-446C-943D-AC9E1AE0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6" y="72072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190500</xdr:colOff>
      <xdr:row>0</xdr:row>
      <xdr:rowOff>116416</xdr:rowOff>
    </xdr:from>
    <xdr:to>
      <xdr:col>14</xdr:col>
      <xdr:colOff>459776</xdr:colOff>
      <xdr:row>6</xdr:row>
      <xdr:rowOff>6687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C2E07BF-D1A9-0358-EF1E-B197DF474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57583" y="116416"/>
          <a:ext cx="3296110" cy="2419688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190501</xdr:colOff>
      <xdr:row>6</xdr:row>
      <xdr:rowOff>95250</xdr:rowOff>
    </xdr:from>
    <xdr:to>
      <xdr:col>14</xdr:col>
      <xdr:colOff>612198</xdr:colOff>
      <xdr:row>17</xdr:row>
      <xdr:rowOff>73332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2B4A05-5043-FF95-EAFA-7B4D81D33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57584" y="2624667"/>
          <a:ext cx="3448531" cy="2200582"/>
        </a:xfrm>
        <a:prstGeom prst="rect">
          <a:avLst/>
        </a:prstGeom>
      </xdr:spPr>
    </xdr:pic>
    <xdr:clientData/>
  </xdr:two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A8280A6-00F1-448B-B2B9-EF1FFE9675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7BD524-E8D0-4639-B5DA-137F64CAE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708854</xdr:colOff>
      <xdr:row>30</xdr:row>
      <xdr:rowOff>79255</xdr:rowOff>
    </xdr:from>
    <xdr:to>
      <xdr:col>4</xdr:col>
      <xdr:colOff>88168</xdr:colOff>
      <xdr:row>36</xdr:row>
      <xdr:rowOff>83983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89BEAF-A192-41C9-9CB3-A09A147247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1187" y="7551088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AF188B-3DA3-4FC2-909D-FF14F2E09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239976</xdr:colOff>
      <xdr:row>31</xdr:row>
      <xdr:rowOff>96838</xdr:rowOff>
    </xdr:from>
    <xdr:to>
      <xdr:col>4</xdr:col>
      <xdr:colOff>1249625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516B73-2862-4B63-9F0A-2A24D6BAB2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59" y="774858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4C456F1-55FD-45B8-B06F-BFC13AE99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7E00077-F16C-46F9-8D11-59A73E0E0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20B6381-EA8C-4CA0-BB8E-355E16205B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2B5C73-B098-4767-83ED-5F997CBA2A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9247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6EEB1D-49C7-4CD5-AD14-4CB1540017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731917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7D278CF2-532F-4EC6-8C0E-0960F500A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08AA045-F53C-4848-832D-AE9F41FF18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39104</xdr:colOff>
      <xdr:row>37</xdr:row>
      <xdr:rowOff>139262</xdr:rowOff>
    </xdr:from>
    <xdr:to>
      <xdr:col>4</xdr:col>
      <xdr:colOff>321870</xdr:colOff>
      <xdr:row>43</xdr:row>
      <xdr:rowOff>88076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93CFDC-1D7A-429E-8505-08A27EDE1B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5771" y="888109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282574</xdr:colOff>
      <xdr:row>31</xdr:row>
      <xdr:rowOff>21168</xdr:rowOff>
    </xdr:from>
    <xdr:to>
      <xdr:col>4</xdr:col>
      <xdr:colOff>1292223</xdr:colOff>
      <xdr:row>35</xdr:row>
      <xdr:rowOff>26651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D1E8DD8-FDE4-4AEE-86E7-BCC494E504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4" y="7672918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4AFE66-FF9A-4AFF-A13B-C7550CE59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AE94C36-80CA-49E3-9A67-7B0AE8CB6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64F48A-2603-483A-AE20-2B12C0FEA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FFEA1FE-2F8A-4C92-9996-0F057D7AA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1349C7F-6571-4B13-B401-711B471D07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695273</xdr:colOff>
      <xdr:row>37</xdr:row>
      <xdr:rowOff>2741</xdr:rowOff>
    </xdr:from>
    <xdr:to>
      <xdr:col>4</xdr:col>
      <xdr:colOff>174763</xdr:colOff>
      <xdr:row>42</xdr:row>
      <xdr:rowOff>157929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B94A07-B6CC-44E5-9F12-D1EC718DB6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37606" y="874457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277284</xdr:colOff>
      <xdr:row>31</xdr:row>
      <xdr:rowOff>46568</xdr:rowOff>
    </xdr:from>
    <xdr:to>
      <xdr:col>4</xdr:col>
      <xdr:colOff>1286933</xdr:colOff>
      <xdr:row>35</xdr:row>
      <xdr:rowOff>53109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F1F8DB-107F-4723-947C-F5F28ED68A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7034" y="7698318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7866964-5C65-4D29-B2A9-90411578A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EEB32EC-864D-437A-A97C-6C498A0D5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A4C975EC-CF2D-4B0B-8FF3-7CC70205B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A61603F-A7C3-431B-8E0A-4E39F512B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247790</xdr:colOff>
      <xdr:row>42</xdr:row>
      <xdr:rowOff>183329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8B3F96-BA5E-4E23-84A8-6A4DEC2F8A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1" y="877526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63500</xdr:rowOff>
    </xdr:from>
    <xdr:to>
      <xdr:col>4</xdr:col>
      <xdr:colOff>1292225</xdr:colOff>
      <xdr:row>35</xdr:row>
      <xdr:rowOff>68983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A302EF-766C-4369-931E-9060252D20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15250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0355F9-6D1C-4EE6-B103-B3E6F034C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8908FD2-00C5-45DB-992A-063F2CF61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762001</xdr:colOff>
      <xdr:row>26</xdr:row>
      <xdr:rowOff>211667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DB22FD6A-BA66-417D-853B-52CF0F253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1" y="7222067"/>
          <a:ext cx="1606220" cy="1333500"/>
        </a:xfrm>
        <a:prstGeom prst="rect">
          <a:avLst/>
        </a:prstGeom>
      </xdr:spPr>
    </xdr:pic>
    <xdr:clientData/>
  </xdr:one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800923C-CF93-4395-BB4B-3CA7CE90B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AD96BC-742D-410D-A68C-6510344282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7207" y="8819339"/>
          <a:ext cx="2513883" cy="1083498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56927B4-E912-4EDA-AB27-1AB3B3C747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5728" y="7668984"/>
          <a:ext cx="1009649" cy="727719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83A612AA-A47C-4C27-A921-EB6F065D2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9165BAA-8954-4C52-8372-1E9632556D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C14050-4CA2-4FDF-9E75-42CDDF652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793520</xdr:colOff>
      <xdr:row>30</xdr:row>
      <xdr:rowOff>26337</xdr:rowOff>
    </xdr:from>
    <xdr:to>
      <xdr:col>4</xdr:col>
      <xdr:colOff>172834</xdr:colOff>
      <xdr:row>36</xdr:row>
      <xdr:rowOff>31065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EEE5EB1-EDAC-4468-BC5D-7C3AC31AF5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3" y="749817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629158-5A8F-436A-B635-8EED34CC0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314060</xdr:colOff>
      <xdr:row>31</xdr:row>
      <xdr:rowOff>65088</xdr:rowOff>
    </xdr:from>
    <xdr:to>
      <xdr:col>4</xdr:col>
      <xdr:colOff>1323709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8A3503-034E-48BC-A64F-5B122FD6E5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3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E9CC94E-5AA7-48D8-BB04-62EA53BCC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0EE2812-E107-4DE2-97C5-3EF2931FD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EDDAB0A-124B-42FC-BE16-7A26AD0FC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9157CA-78D8-4D1E-8AC3-69D829C9A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EBBD281-DA41-40C3-9895-17F1C62F0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314059</xdr:colOff>
      <xdr:row>31</xdr:row>
      <xdr:rowOff>33340</xdr:rowOff>
    </xdr:from>
    <xdr:to>
      <xdr:col>4</xdr:col>
      <xdr:colOff>1323708</xdr:colOff>
      <xdr:row>35</xdr:row>
      <xdr:rowOff>43056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A650AF-233B-41A0-B117-66631B2C3C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2" y="768509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88D8764-F90C-4D9D-B8E4-229D32CD6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6DC03302-AD75-4D36-9580-CD4EFE53A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7F5437-25B9-44CC-8BCC-5FE68384E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748195</xdr:colOff>
      <xdr:row>30</xdr:row>
      <xdr:rowOff>55660</xdr:rowOff>
    </xdr:from>
    <xdr:to>
      <xdr:col>4</xdr:col>
      <xdr:colOff>122910</xdr:colOff>
      <xdr:row>36</xdr:row>
      <xdr:rowOff>62681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824307F-E593-4A0B-A670-B7CE4CFA95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8" y="7527493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62DBC1-4D33-4B8E-8B5B-6BDA17240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2A0EA52-6AB1-47BE-B386-99B9BB9A7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C85A580-288C-4A0C-B1AD-DC31D92FC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E2D610-D7CD-4776-9B51-F65176B6A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582540</xdr:colOff>
      <xdr:row>37</xdr:row>
      <xdr:rowOff>29659</xdr:rowOff>
    </xdr:from>
    <xdr:to>
      <xdr:col>4</xdr:col>
      <xdr:colOff>211835</xdr:colOff>
      <xdr:row>43</xdr:row>
      <xdr:rowOff>44521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2CB58F-7BC8-4C44-88F4-E5D4F0E08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0640" y="88402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48DFBF-BC06-4D6D-8E55-D1D0BD310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35</xdr:row>
      <xdr:rowOff>114300</xdr:rowOff>
    </xdr:from>
    <xdr:to>
      <xdr:col>13</xdr:col>
      <xdr:colOff>485775</xdr:colOff>
      <xdr:row>41</xdr:row>
      <xdr:rowOff>52705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E8797A0-7F98-403F-A195-97F1C6403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1475" y="85629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301890</xdr:colOff>
      <xdr:row>31</xdr:row>
      <xdr:rowOff>36778</xdr:rowOff>
    </xdr:from>
    <xdr:to>
      <xdr:col>4</xdr:col>
      <xdr:colOff>1311539</xdr:colOff>
      <xdr:row>35</xdr:row>
      <xdr:rowOff>46494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42823F1-B296-4677-84A5-9E86B57851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8940" y="77520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14DCE54-20DC-4DA9-83BE-1F9A717B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FD6A941-5BE8-4AC0-BE67-605F6556FA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F37123-5692-4E84-8701-C4A1AD710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487291</xdr:colOff>
      <xdr:row>37</xdr:row>
      <xdr:rowOff>1086</xdr:rowOff>
    </xdr:from>
    <xdr:to>
      <xdr:col>4</xdr:col>
      <xdr:colOff>116586</xdr:colOff>
      <xdr:row>43</xdr:row>
      <xdr:rowOff>15948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A4926-FD39-4CE4-8C2F-023F13514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25391" y="88117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11C9B4-F8CB-4674-8847-3D78FA0C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D0EF8D-CEE9-4864-99EA-E59B19CE7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17728</xdr:rowOff>
    </xdr:from>
    <xdr:to>
      <xdr:col>4</xdr:col>
      <xdr:colOff>1263914</xdr:colOff>
      <xdr:row>35</xdr:row>
      <xdr:rowOff>27444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F666E6-E30E-46FD-99A1-B7FDD582DD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329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C6FD2D0-3AFB-4D5A-BF2C-9C59D9981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8EE7D94-C05E-485A-896D-E734F3BFE7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CA98E5-F0BA-43F3-8251-D637D2120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515867</xdr:colOff>
      <xdr:row>37</xdr:row>
      <xdr:rowOff>29659</xdr:rowOff>
    </xdr:from>
    <xdr:to>
      <xdr:col>4</xdr:col>
      <xdr:colOff>145162</xdr:colOff>
      <xdr:row>43</xdr:row>
      <xdr:rowOff>44521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092FC6-73CD-4849-B914-EE9FCBF816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53967" y="88402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D41FB75-E0FE-430F-A47A-699C51379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31</xdr:row>
      <xdr:rowOff>46303</xdr:rowOff>
    </xdr:from>
    <xdr:to>
      <xdr:col>4</xdr:col>
      <xdr:colOff>1244864</xdr:colOff>
      <xdr:row>35</xdr:row>
      <xdr:rowOff>56019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18AC800-F872-4496-9D4A-437C1A93C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77615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B804D8B-303F-49B5-AF99-9FAAC0C18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85725</xdr:colOff>
      <xdr:row>4</xdr:row>
      <xdr:rowOff>266700</xdr:rowOff>
    </xdr:from>
    <xdr:to>
      <xdr:col>15</xdr:col>
      <xdr:colOff>200550</xdr:colOff>
      <xdr:row>12</xdr:row>
      <xdr:rowOff>143086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B476E8-B0F0-FC99-4F93-7177152A7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34275" y="2171700"/>
          <a:ext cx="3762900" cy="1514686"/>
        </a:xfrm>
        <a:prstGeom prst="rect">
          <a:avLst/>
        </a:prstGeom>
      </xdr:spPr>
    </xdr:pic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B3EAF21-73CD-4265-AA38-E98A976C92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D1BDD4-BDC1-41C5-989D-0741DEEA6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878187</xdr:colOff>
      <xdr:row>30</xdr:row>
      <xdr:rowOff>58084</xdr:rowOff>
    </xdr:from>
    <xdr:to>
      <xdr:col>4</xdr:col>
      <xdr:colOff>257501</xdr:colOff>
      <xdr:row>36</xdr:row>
      <xdr:rowOff>63870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45D928-BC1A-4CE9-9F14-C9E8F54706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20520" y="7529917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FBAB24-CC1D-4A50-8710-201B97835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96840</xdr:rowOff>
    </xdr:from>
    <xdr:to>
      <xdr:col>4</xdr:col>
      <xdr:colOff>1334293</xdr:colOff>
      <xdr:row>35</xdr:row>
      <xdr:rowOff>106556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E7E142-00A9-4C69-92C5-FC31E18F07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74859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59E11F-74FA-4646-98A0-268103EE8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433917</xdr:colOff>
      <xdr:row>44</xdr:row>
      <xdr:rowOff>127001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4A10CBD-B65D-4B64-ABF0-8D1151001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101917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DB2C2F-D53E-405B-A96E-1F99105FA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2A9C69-7DCF-4841-8950-DF58E94C1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0C541E2-6A08-4C0B-BB97-0296433F32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694566-A99B-495D-9FFB-0B88313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392042</xdr:colOff>
      <xdr:row>42</xdr:row>
      <xdr:rowOff>163008</xdr:rowOff>
    </xdr:from>
    <xdr:to>
      <xdr:col>4</xdr:col>
      <xdr:colOff>21337</xdr:colOff>
      <xdr:row>49</xdr:row>
      <xdr:rowOff>25470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FA2904-4BCB-42D3-BEC9-C4D0B6085E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0142" y="9916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A6D3B6-7FF8-42D4-AA81-40911F301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178065</xdr:colOff>
      <xdr:row>43</xdr:row>
      <xdr:rowOff>141553</xdr:rowOff>
    </xdr:from>
    <xdr:to>
      <xdr:col>4</xdr:col>
      <xdr:colOff>1187714</xdr:colOff>
      <xdr:row>47</xdr:row>
      <xdr:rowOff>151269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D62E7E-24A2-4797-AB28-3A1BC521EE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45115" y="10095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E354D926-47F4-4F83-9C18-DA7838BF0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9525</xdr:colOff>
      <xdr:row>0</xdr:row>
      <xdr:rowOff>523875</xdr:rowOff>
    </xdr:from>
    <xdr:to>
      <xdr:col>15</xdr:col>
      <xdr:colOff>343421</xdr:colOff>
      <xdr:row>8</xdr:row>
      <xdr:rowOff>295621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7B2723-E37E-76DB-8FA6-2B88EC16A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05725" y="523875"/>
          <a:ext cx="3734321" cy="2476846"/>
        </a:xfrm>
        <a:prstGeom prst="rect">
          <a:avLst/>
        </a:prstGeom>
      </xdr:spPr>
    </xdr:pic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44E72DE-EB3A-439E-951E-A5F3F3936C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D7DBD2-72F1-4E9A-A529-AC8FE01AA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392042</xdr:colOff>
      <xdr:row>42</xdr:row>
      <xdr:rowOff>163008</xdr:rowOff>
    </xdr:from>
    <xdr:to>
      <xdr:col>4</xdr:col>
      <xdr:colOff>21337</xdr:colOff>
      <xdr:row>49</xdr:row>
      <xdr:rowOff>25470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926613E-FC2C-479A-873C-3B5CA388D1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0142" y="9916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6D5F79-68E1-431F-9879-43DEBD19D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178065</xdr:colOff>
      <xdr:row>43</xdr:row>
      <xdr:rowOff>141553</xdr:rowOff>
    </xdr:from>
    <xdr:to>
      <xdr:col>4</xdr:col>
      <xdr:colOff>1187714</xdr:colOff>
      <xdr:row>47</xdr:row>
      <xdr:rowOff>151269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A119BEF-8572-49EA-91AC-0167E7EFCE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45115" y="10095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3A11A44-4B54-4A2E-AB0D-E2D5F73FA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238125</xdr:colOff>
      <xdr:row>0</xdr:row>
      <xdr:rowOff>390525</xdr:rowOff>
    </xdr:from>
    <xdr:to>
      <xdr:col>15</xdr:col>
      <xdr:colOff>200529</xdr:colOff>
      <xdr:row>10</xdr:row>
      <xdr:rowOff>181371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70B707-35AD-D1D9-0AAB-E1B068C79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86675" y="390525"/>
          <a:ext cx="3610479" cy="2838846"/>
        </a:xfrm>
        <a:prstGeom prst="rect">
          <a:avLst/>
        </a:prstGeom>
      </xdr:spPr>
    </xdr:pic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FCF4EE-4620-414F-B055-CA140462DE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AA482A-5569-4E58-8E58-713077F9F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392042</xdr:colOff>
      <xdr:row>42</xdr:row>
      <xdr:rowOff>163008</xdr:rowOff>
    </xdr:from>
    <xdr:to>
      <xdr:col>4</xdr:col>
      <xdr:colOff>21337</xdr:colOff>
      <xdr:row>49</xdr:row>
      <xdr:rowOff>25470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2E99A5-EF85-4D6D-A11D-3AEB9B4FC9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0142" y="9916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C34EF7-2F79-4F56-A244-7D1A12A36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178065</xdr:colOff>
      <xdr:row>43</xdr:row>
      <xdr:rowOff>141553</xdr:rowOff>
    </xdr:from>
    <xdr:to>
      <xdr:col>4</xdr:col>
      <xdr:colOff>1187714</xdr:colOff>
      <xdr:row>47</xdr:row>
      <xdr:rowOff>151269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453398-8957-4849-A782-5FB1E68047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45115" y="10095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3219C1C-3588-4FBA-B549-235916CB6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180975</xdr:colOff>
      <xdr:row>0</xdr:row>
      <xdr:rowOff>247650</xdr:rowOff>
    </xdr:from>
    <xdr:to>
      <xdr:col>15</xdr:col>
      <xdr:colOff>152905</xdr:colOff>
      <xdr:row>8</xdr:row>
      <xdr:rowOff>228975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404FE83-3525-5388-3EDD-7DE0962CD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9525" y="247650"/>
          <a:ext cx="3620005" cy="2686425"/>
        </a:xfrm>
        <a:prstGeom prst="rect">
          <a:avLst/>
        </a:prstGeom>
      </xdr:spPr>
    </xdr:pic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424B1B0-E129-44A1-A8F9-9A0FEF28DD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7B5857-45A3-4795-B54A-8C45DB1DE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835855</xdr:colOff>
      <xdr:row>37</xdr:row>
      <xdr:rowOff>58084</xdr:rowOff>
    </xdr:from>
    <xdr:to>
      <xdr:col>4</xdr:col>
      <xdr:colOff>215169</xdr:colOff>
      <xdr:row>43</xdr:row>
      <xdr:rowOff>10954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807FC6-8451-4118-A849-B16F1CB886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8" y="8799917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22B6EC-F4C1-4681-A593-0F7C523EB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208228</xdr:colOff>
      <xdr:row>31</xdr:row>
      <xdr:rowOff>33339</xdr:rowOff>
    </xdr:from>
    <xdr:to>
      <xdr:col>4</xdr:col>
      <xdr:colOff>1217877</xdr:colOff>
      <xdr:row>35</xdr:row>
      <xdr:rowOff>43055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0037C91-524D-4647-A0BE-6DCBD8B82A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3811" y="76850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DEE8F0C-7C0A-40EA-BB8A-82B864545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889001</xdr:colOff>
      <xdr:row>23</xdr:row>
      <xdr:rowOff>158751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766A654-32E4-42D5-B420-7A6C4FE10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4" y="6371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3C4D7B2-DF79-4C9C-966C-8834502FF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1DE34A2-0EE2-4558-A26A-2AA95DDFF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84666</xdr:colOff>
      <xdr:row>0</xdr:row>
      <xdr:rowOff>476250</xdr:rowOff>
    </xdr:from>
    <xdr:to>
      <xdr:col>15</xdr:col>
      <xdr:colOff>144417</xdr:colOff>
      <xdr:row>8</xdr:row>
      <xdr:rowOff>292451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F21E751-977C-5BEB-CD48-0B0D520FE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95166" y="476250"/>
          <a:ext cx="3467584" cy="2514951"/>
        </a:xfrm>
        <a:prstGeom prst="rect">
          <a:avLst/>
        </a:prstGeom>
      </xdr:spPr>
    </xdr:pic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B505545-B2EF-4892-98BE-870890587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658864-59B5-43A6-81D4-0A1192E95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846438</xdr:colOff>
      <xdr:row>37</xdr:row>
      <xdr:rowOff>79252</xdr:rowOff>
    </xdr:from>
    <xdr:to>
      <xdr:col>4</xdr:col>
      <xdr:colOff>225752</xdr:colOff>
      <xdr:row>43</xdr:row>
      <xdr:rowOff>32122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18A60F-B4CA-459E-B5A2-253C362C96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1" y="8821085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DDA52DF-1580-4ED6-A3CE-FB229F8E5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345810</xdr:colOff>
      <xdr:row>31</xdr:row>
      <xdr:rowOff>22756</xdr:rowOff>
    </xdr:from>
    <xdr:to>
      <xdr:col>4</xdr:col>
      <xdr:colOff>1355459</xdr:colOff>
      <xdr:row>35</xdr:row>
      <xdr:rowOff>32472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5910F39-470D-4991-A296-E505BC7B3A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3" y="767450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91EBC7-B340-44AA-9838-816B27CFE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21167</xdr:colOff>
      <xdr:row>26</xdr:row>
      <xdr:rowOff>232834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4E86F34-AA9C-4B95-A9DB-4D0BC5EBA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142" y="7243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9492DC6-BCFB-4275-A260-D285B6BCC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B2B0EA3-459F-4FD3-9867-93221D18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179917</xdr:colOff>
      <xdr:row>2</xdr:row>
      <xdr:rowOff>84667</xdr:rowOff>
    </xdr:from>
    <xdr:to>
      <xdr:col>14</xdr:col>
      <xdr:colOff>798443</xdr:colOff>
      <xdr:row>12</xdr:row>
      <xdr:rowOff>55364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02E5B7-8B04-BA0C-F281-3D2B02602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47000" y="1227667"/>
          <a:ext cx="3296110" cy="2362530"/>
        </a:xfrm>
        <a:prstGeom prst="rect">
          <a:avLst/>
        </a:prstGeom>
      </xdr:spPr>
    </xdr:pic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3F99BDA-D334-409F-88C9-DDD71BE1C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96DC6E-5809-43B9-92FC-D7EA64D3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846438</xdr:colOff>
      <xdr:row>37</xdr:row>
      <xdr:rowOff>79252</xdr:rowOff>
    </xdr:from>
    <xdr:to>
      <xdr:col>4</xdr:col>
      <xdr:colOff>225752</xdr:colOff>
      <xdr:row>43</xdr:row>
      <xdr:rowOff>32122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CAA412-529B-429F-BF75-5E01F431E5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1" y="8821085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806356E-69BC-4BA3-A662-191F3CAFC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345810</xdr:colOff>
      <xdr:row>31</xdr:row>
      <xdr:rowOff>22756</xdr:rowOff>
    </xdr:from>
    <xdr:to>
      <xdr:col>4</xdr:col>
      <xdr:colOff>1355459</xdr:colOff>
      <xdr:row>35</xdr:row>
      <xdr:rowOff>32472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27F0FE3-4673-4751-A2CE-52515D15A8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3" y="767450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F2DA26D-E04F-420E-AA9E-E66DCC290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21167</xdr:colOff>
      <xdr:row>26</xdr:row>
      <xdr:rowOff>232834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4870CD0-81DD-4C25-8675-36519766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142" y="7243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169333</xdr:colOff>
      <xdr:row>0</xdr:row>
      <xdr:rowOff>698499</xdr:rowOff>
    </xdr:from>
    <xdr:to>
      <xdr:col>14</xdr:col>
      <xdr:colOff>683069</xdr:colOff>
      <xdr:row>18</xdr:row>
      <xdr:rowOff>47172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E6B6CE1-76CF-452E-AB87-5766EE70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36416" y="698499"/>
          <a:ext cx="3191320" cy="434400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F13C4CA-414C-42EB-A09B-C499C7A08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7603F6-3D4D-4C08-A873-E88E20E51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F7F6086-7875-4168-9462-965D81396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A0AEE5-277E-4EB5-828D-63D9BCD2F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A332F8-5092-4019-A513-AF57FBDFA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366975</xdr:colOff>
      <xdr:row>31</xdr:row>
      <xdr:rowOff>12173</xdr:rowOff>
    </xdr:from>
    <xdr:to>
      <xdr:col>4</xdr:col>
      <xdr:colOff>1376624</xdr:colOff>
      <xdr:row>35</xdr:row>
      <xdr:rowOff>21889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E5E59C1-B89F-4543-87EC-C0969D9093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52558" y="766392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2F86EB-558D-42CC-AB36-77010FA39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3F5C0A7-3A38-42DE-BC7B-D99E3E7A6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C28B06-A030-4DAE-992D-58C5224B0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758779</xdr:colOff>
      <xdr:row>30</xdr:row>
      <xdr:rowOff>66242</xdr:rowOff>
    </xdr:from>
    <xdr:to>
      <xdr:col>4</xdr:col>
      <xdr:colOff>133494</xdr:colOff>
      <xdr:row>36</xdr:row>
      <xdr:rowOff>73263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CD3FBA-0440-490F-83F0-417A61E6E7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1112" y="7538075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169D68E-EAB6-4A90-8051-9B862491E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958B158-C557-4E30-B791-AC0AC5288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07995D7-C7BE-4CF6-A6B2-75060E9408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119C31-F46C-41F0-8FF4-0388496D7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867605</xdr:colOff>
      <xdr:row>37</xdr:row>
      <xdr:rowOff>47501</xdr:rowOff>
    </xdr:from>
    <xdr:to>
      <xdr:col>4</xdr:col>
      <xdr:colOff>246919</xdr:colOff>
      <xdr:row>42</xdr:row>
      <xdr:rowOff>200396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97330B-1257-46E9-BCBF-87DDFE96AB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8" y="878933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2BC4CB-5DC4-4841-B664-BD2CC3849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261144</xdr:colOff>
      <xdr:row>31</xdr:row>
      <xdr:rowOff>96839</xdr:rowOff>
    </xdr:from>
    <xdr:to>
      <xdr:col>4</xdr:col>
      <xdr:colOff>1270793</xdr:colOff>
      <xdr:row>35</xdr:row>
      <xdr:rowOff>106555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18DA40-6465-4326-86C5-1F34A249DD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7" y="7748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A81149-4133-4836-8BF5-E4BC322D1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21167</xdr:colOff>
      <xdr:row>26</xdr:row>
      <xdr:rowOff>232834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E2F2446-39F4-437D-9998-417AE4C12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7" y="71755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0</xdr:row>
      <xdr:rowOff>243416</xdr:rowOff>
    </xdr:from>
    <xdr:to>
      <xdr:col>14</xdr:col>
      <xdr:colOff>757153</xdr:colOff>
      <xdr:row>16</xdr:row>
      <xdr:rowOff>78922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FC23F03-8F61-2C54-E3B9-E762FA33B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0" y="243416"/>
          <a:ext cx="3191320" cy="434400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58D5441-CB70-44CD-A7E1-1F2F82F78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D85D694-0454-4A6A-BC16-7B67B8049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95D1A11-0D43-44B2-B21C-9FE732912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E84436-70E2-4A13-B96A-8723767AB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327854</xdr:colOff>
      <xdr:row>43</xdr:row>
      <xdr:rowOff>36920</xdr:rowOff>
    </xdr:from>
    <xdr:to>
      <xdr:col>3</xdr:col>
      <xdr:colOff>1432251</xdr:colOff>
      <xdr:row>49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6F7184-F828-49A6-B5D7-2629F4EE17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70187" y="99217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51CAEB2-65E6-4412-B2A5-5053EEE80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409310</xdr:colOff>
      <xdr:row>43</xdr:row>
      <xdr:rowOff>65088</xdr:rowOff>
    </xdr:from>
    <xdr:to>
      <xdr:col>4</xdr:col>
      <xdr:colOff>1418959</xdr:colOff>
      <xdr:row>47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BA1E06-C122-48F3-8D38-AF9B54A26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94893" y="994992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210FF25-1685-46C4-B0C1-3E6DE1518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27E84509-C61D-4E08-BF11-C6981AF98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8A9AB60-7EAA-42B1-AC9E-8C4BA7B1FF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BB9666-7B2F-4318-8245-6122008F6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793520</xdr:colOff>
      <xdr:row>30</xdr:row>
      <xdr:rowOff>26337</xdr:rowOff>
    </xdr:from>
    <xdr:to>
      <xdr:col>4</xdr:col>
      <xdr:colOff>172834</xdr:colOff>
      <xdr:row>36</xdr:row>
      <xdr:rowOff>31065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3D9AE97-FF4C-4D20-AC16-B2ADF9A194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3" y="749817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D3CF29B-6AFF-4DFC-B1FF-AD6387D55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314060</xdr:colOff>
      <xdr:row>31</xdr:row>
      <xdr:rowOff>65088</xdr:rowOff>
    </xdr:from>
    <xdr:to>
      <xdr:col>4</xdr:col>
      <xdr:colOff>1323709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E6713A-CA2A-441C-8294-0D1D312C32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3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C45C49-0975-41B5-9CD2-C7081CF1B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CBBA367-3C13-4860-AE15-1251C6F21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371668"/>
          <a:ext cx="1466850" cy="1217794"/>
        </a:xfrm>
        <a:prstGeom prst="rect">
          <a:avLst/>
        </a:prstGeom>
      </xdr:spPr>
    </xdr:pic>
    <xdr:clientData/>
  </xdr:one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628D818-1110-4033-A90D-AD72D82F2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653BD1-0A81-4897-B8C4-5179877F6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468243</xdr:colOff>
      <xdr:row>37</xdr:row>
      <xdr:rowOff>39183</xdr:rowOff>
    </xdr:from>
    <xdr:to>
      <xdr:col>4</xdr:col>
      <xdr:colOff>97538</xdr:colOff>
      <xdr:row>43</xdr:row>
      <xdr:rowOff>54045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5C169B-A18F-48DE-AB7E-01427EAB37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06343" y="88498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8D5829-BB60-4C2A-8A8E-0066C4C4A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206640</xdr:colOff>
      <xdr:row>31</xdr:row>
      <xdr:rowOff>93928</xdr:rowOff>
    </xdr:from>
    <xdr:to>
      <xdr:col>4</xdr:col>
      <xdr:colOff>1216289</xdr:colOff>
      <xdr:row>35</xdr:row>
      <xdr:rowOff>103644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54E4B-9D90-47A2-9175-BFD9EB9795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3690" y="7809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CE52946D-E85A-46A7-873D-98BB26C43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190500</xdr:colOff>
      <xdr:row>0</xdr:row>
      <xdr:rowOff>47625</xdr:rowOff>
    </xdr:from>
    <xdr:to>
      <xdr:col>15</xdr:col>
      <xdr:colOff>29062</xdr:colOff>
      <xdr:row>13</xdr:row>
      <xdr:rowOff>86259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D5E55DB-9B2A-A480-9B76-646561B15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39050" y="47625"/>
          <a:ext cx="3486637" cy="382958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16</xdr:col>
      <xdr:colOff>353056</xdr:colOff>
      <xdr:row>31</xdr:row>
      <xdr:rowOff>171953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63E5EA-6757-F96F-2EC6-677317A0A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96200" y="4286250"/>
          <a:ext cx="4525006" cy="3600953"/>
        </a:xfrm>
        <a:prstGeom prst="rect">
          <a:avLst/>
        </a:prstGeom>
      </xdr:spPr>
    </xdr:pic>
    <xdr:clientData/>
  </xdr:two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7A3007B-1DFE-4CFB-99B0-286C4BC0B0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BC9212-057A-42E8-B2D3-7B3549042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468242</xdr:colOff>
      <xdr:row>37</xdr:row>
      <xdr:rowOff>77284</xdr:rowOff>
    </xdr:from>
    <xdr:to>
      <xdr:col>4</xdr:col>
      <xdr:colOff>97537</xdr:colOff>
      <xdr:row>43</xdr:row>
      <xdr:rowOff>92146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CE5CB9-3C2E-4EF1-BE58-C44CD319B5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06342" y="8887909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BC723F-A49B-4545-A873-2C81E4DE9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55828</xdr:rowOff>
    </xdr:from>
    <xdr:to>
      <xdr:col>4</xdr:col>
      <xdr:colOff>1263914</xdr:colOff>
      <xdr:row>35</xdr:row>
      <xdr:rowOff>65544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05FD60A-A662-4CDB-92D2-92F36A9CD0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710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D09621E6-B89B-4AD3-9A95-E91E8AB57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C322D21-3820-45B4-82AC-48233C7897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577782</xdr:colOff>
      <xdr:row>37</xdr:row>
      <xdr:rowOff>24899</xdr:rowOff>
    </xdr:from>
    <xdr:to>
      <xdr:col>4</xdr:col>
      <xdr:colOff>207077</xdr:colOff>
      <xdr:row>43</xdr:row>
      <xdr:rowOff>39761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C15D55-4F8C-4E32-B271-00ADB311E0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13501" y="8847430"/>
          <a:ext cx="2653482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857EAF-F364-4CE0-A5D2-292DFB227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292366</xdr:colOff>
      <xdr:row>30</xdr:row>
      <xdr:rowOff>165368</xdr:rowOff>
    </xdr:from>
    <xdr:to>
      <xdr:col>4</xdr:col>
      <xdr:colOff>1302015</xdr:colOff>
      <xdr:row>34</xdr:row>
      <xdr:rowOff>175084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39F1767-2D1F-44F9-B5AA-E87FAFF8BA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272" y="7725837"/>
          <a:ext cx="1009649" cy="735997"/>
        </a:xfrm>
        <a:prstGeom prst="rect">
          <a:avLst/>
        </a:prstGeom>
      </xdr:spPr>
    </xdr:pic>
    <xdr:clientData/>
  </xdr:twoCellAnchor>
  <xdr:oneCellAnchor>
    <xdr:from>
      <xdr:col>2</xdr:col>
      <xdr:colOff>23812</xdr:colOff>
      <xdr:row>26</xdr:row>
      <xdr:rowOff>226219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35D2C162-617C-4FF6-A392-6FB8D515E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" y="7236619"/>
          <a:ext cx="1466850" cy="1217794"/>
        </a:xfrm>
        <a:prstGeom prst="rect">
          <a:avLst/>
        </a:prstGeom>
      </xdr:spPr>
    </xdr:pic>
    <xdr:clientData/>
  </xdr:one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326D4AD-BE12-455A-B998-A7ED6E1739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F3BC9A6-E1B8-44E8-9C35-E90B1B747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563492</xdr:colOff>
      <xdr:row>36</xdr:row>
      <xdr:rowOff>163008</xdr:rowOff>
    </xdr:from>
    <xdr:to>
      <xdr:col>4</xdr:col>
      <xdr:colOff>192787</xdr:colOff>
      <xdr:row>42</xdr:row>
      <xdr:rowOff>196920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387DC5-180F-4E81-8CAE-BE364EE1EC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01592" y="879265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8DEC22-2CE1-4EDF-BB36-0FD2F62EB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339990</xdr:colOff>
      <xdr:row>31</xdr:row>
      <xdr:rowOff>55828</xdr:rowOff>
    </xdr:from>
    <xdr:to>
      <xdr:col>4</xdr:col>
      <xdr:colOff>1349639</xdr:colOff>
      <xdr:row>35</xdr:row>
      <xdr:rowOff>65544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B0E23B9-C644-4713-92EF-CC70D080A5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7040" y="77710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EBF58C9-06AB-479D-81ED-5873F8E24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5396D31-1224-4B5E-8FBF-84B74CB6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E6B4642-F82D-4F51-BBC7-7359DBF26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857019</xdr:colOff>
      <xdr:row>37</xdr:row>
      <xdr:rowOff>58087</xdr:rowOff>
    </xdr:from>
    <xdr:to>
      <xdr:col>4</xdr:col>
      <xdr:colOff>236333</xdr:colOff>
      <xdr:row>43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F2B0569-7F6C-492B-B554-97F795781F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2" y="879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F55AA2-7549-4F2E-AC31-AF50E6F6E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261143</xdr:colOff>
      <xdr:row>31</xdr:row>
      <xdr:rowOff>75670</xdr:rowOff>
    </xdr:from>
    <xdr:to>
      <xdr:col>4</xdr:col>
      <xdr:colOff>1270792</xdr:colOff>
      <xdr:row>35</xdr:row>
      <xdr:rowOff>85386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3D1099-7CAF-4627-9765-12EDDC875E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6" y="772742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905CCC-67BF-45DA-84E5-FBD88F1CF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9C4B14-B56D-4B0E-9985-5D86212CC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6CEEBF-09D7-4C4D-B930-A873CF99F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C35440DF-10D6-4D93-9116-0F3D7DA1F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211667</xdr:colOff>
      <xdr:row>0</xdr:row>
      <xdr:rowOff>910167</xdr:rowOff>
    </xdr:from>
    <xdr:to>
      <xdr:col>14</xdr:col>
      <xdr:colOff>949768</xdr:colOff>
      <xdr:row>19</xdr:row>
      <xdr:rowOff>34476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1AF56C-D81A-E2AD-10CA-544597928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22167" y="910167"/>
          <a:ext cx="3172268" cy="4363059"/>
        </a:xfrm>
        <a:prstGeom prst="rect">
          <a:avLst/>
        </a:prstGeom>
      </xdr:spPr>
    </xdr:pic>
    <xdr:clientData/>
  </xdr:two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B470C2B-77A5-4AE0-B346-9D2333F33E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1708988-2544-4C17-9F5A-2D6B66254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50E306-6382-4BBE-8987-F7592DEC56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880FC8-A0C9-4DCE-A174-2B02F9F9E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0F501AC-1EFA-4C79-95B0-6A5A644CB7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18E7C9-DEF3-4BAC-82AA-1522AB978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CE071BB-79EF-4FBE-A091-0FF46D6AF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EB2F21-422D-4BC9-8164-F70186F04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C39FA1B-6804-409C-B76E-5BDDFCC78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6E03FE0F-79FA-4B38-9388-E9F369C02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467E952-57CF-48F3-A8FF-AEB667CD5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C44463-5B88-40CA-915B-CF111A5A9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2C1231-1ACA-4030-881F-DBF412DE91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715FC9-0FD5-44C2-97DD-6A38A54B4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96305B-A435-45D7-9C4A-696C36508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094556-DF18-4EC1-9200-CCEB0788B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92F2539-8E48-4590-96D5-5E454720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6508C23-07DA-451E-8A54-5ECBBDB87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6AC8FE-3A07-4C74-BB15-2EDE095CA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A2AE0B30-A633-4ADA-81AF-A0AB232C1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803AE70-9C84-4894-9BD0-08D37C7EDB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684693</xdr:colOff>
      <xdr:row>30</xdr:row>
      <xdr:rowOff>66234</xdr:rowOff>
    </xdr:from>
    <xdr:to>
      <xdr:col>4</xdr:col>
      <xdr:colOff>164183</xdr:colOff>
      <xdr:row>36</xdr:row>
      <xdr:rowOff>73255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33799A-49A7-4810-A533-85AC315E52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27026" y="7538067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182033</xdr:colOff>
      <xdr:row>31</xdr:row>
      <xdr:rowOff>25402</xdr:rowOff>
    </xdr:from>
    <xdr:to>
      <xdr:col>4</xdr:col>
      <xdr:colOff>1191682</xdr:colOff>
      <xdr:row>35</xdr:row>
      <xdr:rowOff>31943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A7FC163-A104-4B50-96E7-30C035AA85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61783" y="7677152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91890B-F611-4DB9-B378-3BA302DC1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DE8DCB8-7E2F-499C-8F5B-083B4EA4F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F2D122D-04E2-4405-91D3-4663C5A78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B20003E-1886-4FAD-8410-565BB224CF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219A56-8FBA-45DA-B68A-9B3EDECA8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42C16BE-867B-4BB7-8B7A-8826C5348C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C68B53-82ED-45A1-AEA0-94F018EB6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C7ECFD-0ADF-491F-8C33-D45C36AF5B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A4278A-A50E-41E1-BA0F-19B0BDCD5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902B024-9B65-4D99-80C2-3F5C02675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353D8C4-E201-4E81-904E-1E8664236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F86D7F-EDCC-41B7-8C8B-100AA5C23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A1059CC1-600F-48A7-9DF8-684B9B659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EDCBF91-0952-42F4-9C17-1F65B4E533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BD0F831-ABD1-4480-80A4-41F246309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4AECD1E-011F-45D8-AFFB-721159B3A3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A9D7127-F89F-44E3-BEE0-65C002623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DA1228-F46F-4263-9F75-447326F2BF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26876B-03BF-4939-BE24-7D4B0CE39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37309C-8DD8-465C-B4CF-2A144D9D2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A7BD68-9B2F-4AF3-8C66-89E347C0A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90925D-DE0C-47EA-927F-423450BD5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2" name="Picture 11">
          <a:extLst>
            <a:ext uri="{FF2B5EF4-FFF2-40B4-BE49-F238E27FC236}">
              <a16:creationId xmlns:a16="http://schemas.microsoft.com/office/drawing/2014/main" id="{9083C302-2DFB-4A32-8B10-635E44D35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5416" y="7186083"/>
          <a:ext cx="1466850" cy="1217794"/>
        </a:xfrm>
        <a:prstGeom prst="rect">
          <a:avLst/>
        </a:prstGeom>
      </xdr:spPr>
    </xdr:pic>
    <xdr:clientData/>
  </xdr:one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B4E323D-3901-4C70-942C-30ADDA7599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9790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88CA30-FEFB-4C2D-BB64-59D278A2D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562850"/>
          <a:ext cx="16383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867603</xdr:colOff>
      <xdr:row>37</xdr:row>
      <xdr:rowOff>58087</xdr:rowOff>
    </xdr:from>
    <xdr:to>
      <xdr:col>4</xdr:col>
      <xdr:colOff>246917</xdr:colOff>
      <xdr:row>43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F4323D-4B92-48AC-9A27-E6278416B3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6" y="879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9CBF96C-4755-4DD8-87BC-280BEF072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275094" y="7400925"/>
          <a:ext cx="9379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335227</xdr:colOff>
      <xdr:row>31</xdr:row>
      <xdr:rowOff>96838</xdr:rowOff>
    </xdr:from>
    <xdr:to>
      <xdr:col>4</xdr:col>
      <xdr:colOff>1344876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E3C4E7E-788C-441C-BC67-507C2867B6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10" y="774858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2DBA8E-78B1-4F8E-AF23-FAE80216A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562850"/>
          <a:ext cx="1638300" cy="1062355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27</xdr:row>
      <xdr:rowOff>31751</xdr:rowOff>
    </xdr:from>
    <xdr:ext cx="1466850" cy="1217794"/>
    <xdr:pic>
      <xdr:nvPicPr>
        <xdr:cNvPr id="9" name="Picture 8">
          <a:extLst>
            <a:ext uri="{FF2B5EF4-FFF2-40B4-BE49-F238E27FC236}">
              <a16:creationId xmlns:a16="http://schemas.microsoft.com/office/drawing/2014/main" id="{5E10710A-86CC-4878-878A-93A5FB31D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650" y="7289801"/>
          <a:ext cx="1466850" cy="1217794"/>
        </a:xfrm>
        <a:prstGeom prst="rect">
          <a:avLst/>
        </a:prstGeom>
      </xdr:spPr>
    </xdr:pic>
    <xdr:clientData/>
  </xdr:one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B141034-4D93-4E1F-B7C6-68E886DBF8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C2E8E2-6889-4F3F-86CA-D58AF78B9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506342</xdr:colOff>
      <xdr:row>36</xdr:row>
      <xdr:rowOff>143958</xdr:rowOff>
    </xdr:from>
    <xdr:to>
      <xdr:col>4</xdr:col>
      <xdr:colOff>135637</xdr:colOff>
      <xdr:row>42</xdr:row>
      <xdr:rowOff>177870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1B5D01-41E0-48C9-8486-8CB9849E30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44442" y="8773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A9751A-B059-4C46-92D4-E976E2FC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42</xdr:row>
      <xdr:rowOff>85725</xdr:rowOff>
    </xdr:from>
    <xdr:to>
      <xdr:col>3</xdr:col>
      <xdr:colOff>1104900</xdr:colOff>
      <xdr:row>48</xdr:row>
      <xdr:rowOff>33655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E30C22C-D1D3-4F43-BAE3-3E53023F7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98393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273315</xdr:colOff>
      <xdr:row>31</xdr:row>
      <xdr:rowOff>122503</xdr:rowOff>
    </xdr:from>
    <xdr:to>
      <xdr:col>4</xdr:col>
      <xdr:colOff>1282964</xdr:colOff>
      <xdr:row>35</xdr:row>
      <xdr:rowOff>132219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D273549-6537-41A0-AD65-A9C73EE70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0365" y="78377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5D1F972-40FD-4406-8063-D764939C4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6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25870DE-05CC-4081-A9B7-D2A037EAE1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579EA66-B559-4BCF-8CC2-077CCF145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761770</xdr:colOff>
      <xdr:row>30</xdr:row>
      <xdr:rowOff>47503</xdr:rowOff>
    </xdr:from>
    <xdr:to>
      <xdr:col>4</xdr:col>
      <xdr:colOff>141084</xdr:colOff>
      <xdr:row>36</xdr:row>
      <xdr:rowOff>52231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67BAE46-4A0F-4EC3-AD96-1FC2607BA9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4103" y="7519336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FE2801-206A-4AF8-B40E-7E9C45A31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409310</xdr:colOff>
      <xdr:row>31</xdr:row>
      <xdr:rowOff>1587</xdr:rowOff>
    </xdr:from>
    <xdr:to>
      <xdr:col>4</xdr:col>
      <xdr:colOff>1418959</xdr:colOff>
      <xdr:row>35</xdr:row>
      <xdr:rowOff>11303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A88E73A-61A7-4672-9C0D-6BDFDFC32F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94893" y="765333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7A89C7-4969-404B-B1D1-01977621A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09BC8BC-11DA-4757-AD04-6EC36407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</xdr:wsDr>
</file>

<file path=xl/drawings/drawing1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B24A34B-F10C-402B-B744-C2F9EE6E23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ECF0E9-261D-4CB6-B483-F3F563F07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793518</xdr:colOff>
      <xdr:row>29</xdr:row>
      <xdr:rowOff>174503</xdr:rowOff>
    </xdr:from>
    <xdr:to>
      <xdr:col>4</xdr:col>
      <xdr:colOff>172832</xdr:colOff>
      <xdr:row>35</xdr:row>
      <xdr:rowOff>179232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2FD0278-AEC3-406B-B93E-1739C2236F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1" y="746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75D998-84F6-4B1B-817D-661D16445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43920</xdr:rowOff>
    </xdr:from>
    <xdr:to>
      <xdr:col>4</xdr:col>
      <xdr:colOff>1334293</xdr:colOff>
      <xdr:row>35</xdr:row>
      <xdr:rowOff>53636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69A5D6-F2CC-4441-9323-ACBAE2F798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69567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04E08B7-9F63-453A-8922-83CF162E8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75EC131-37AE-4B08-87C9-B93AC1C8E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</xdr:wsDr>
</file>

<file path=xl/drawings/drawing1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B8101A2-317A-47AA-A87C-3C777836CA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33EA79-4B21-4A14-971B-C6310384E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793518</xdr:colOff>
      <xdr:row>29</xdr:row>
      <xdr:rowOff>174503</xdr:rowOff>
    </xdr:from>
    <xdr:to>
      <xdr:col>4</xdr:col>
      <xdr:colOff>172832</xdr:colOff>
      <xdr:row>35</xdr:row>
      <xdr:rowOff>179232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D699371-7704-409A-9B16-BD94B935A4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1" y="746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1EB1FE-46CA-4A1B-AE91-CF8081153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43920</xdr:rowOff>
    </xdr:from>
    <xdr:to>
      <xdr:col>4</xdr:col>
      <xdr:colOff>1334293</xdr:colOff>
      <xdr:row>35</xdr:row>
      <xdr:rowOff>53636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953D28D-C4FE-488F-89F8-53A34F6B99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69567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AF3FB7D-DD29-4375-9F9B-1BE21245C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C7F330-5BA4-4D16-90D2-D1C83D218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</xdr:wsDr>
</file>

<file path=xl/drawings/drawing1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58E7437-6A62-4732-A04F-49B0E87A3D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6771" y="28575"/>
          <a:ext cx="3748085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553969</xdr:colOff>
      <xdr:row>36</xdr:row>
      <xdr:rowOff>120148</xdr:rowOff>
    </xdr:from>
    <xdr:to>
      <xdr:col>4</xdr:col>
      <xdr:colOff>183264</xdr:colOff>
      <xdr:row>42</xdr:row>
      <xdr:rowOff>158823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A753C6-3D9B-4A92-AAFD-82CF2141BF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89688" y="8764086"/>
          <a:ext cx="2653482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7403E5-DA30-4B2C-A28B-893703450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256646</xdr:colOff>
      <xdr:row>31</xdr:row>
      <xdr:rowOff>22492</xdr:rowOff>
    </xdr:from>
    <xdr:to>
      <xdr:col>4</xdr:col>
      <xdr:colOff>1266295</xdr:colOff>
      <xdr:row>35</xdr:row>
      <xdr:rowOff>32208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91004D-F018-4EEA-AF5B-D8236E8023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6552" y="7761555"/>
          <a:ext cx="1009649" cy="735997"/>
        </a:xfrm>
        <a:prstGeom prst="rect">
          <a:avLst/>
        </a:prstGeom>
      </xdr:spPr>
    </xdr:pic>
    <xdr:clientData/>
  </xdr:twoCellAnchor>
  <xdr:oneCellAnchor>
    <xdr:from>
      <xdr:col>2</xdr:col>
      <xdr:colOff>23812</xdr:colOff>
      <xdr:row>26</xdr:row>
      <xdr:rowOff>226219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03E82530-54F0-4342-A7F1-F0E4B63D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" y="7236619"/>
          <a:ext cx="1466850" cy="1217794"/>
        </a:xfrm>
        <a:prstGeom prst="rect">
          <a:avLst/>
        </a:prstGeom>
      </xdr:spPr>
    </xdr:pic>
    <xdr:clientData/>
  </xdr:oneCellAnchor>
</xdr:wsDr>
</file>

<file path=xl/drawings/drawing16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D925C34-9638-4CC4-8BC9-43C05D4D8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AFCF52-0BAE-4193-A94E-2BD85223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487291</xdr:colOff>
      <xdr:row>37</xdr:row>
      <xdr:rowOff>1086</xdr:rowOff>
    </xdr:from>
    <xdr:to>
      <xdr:col>4</xdr:col>
      <xdr:colOff>116586</xdr:colOff>
      <xdr:row>43</xdr:row>
      <xdr:rowOff>15948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05E8C37-3586-4478-971C-9EA75929B4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25391" y="88117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A3DBD2-6424-4D5A-B8EE-0BA1795FB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2635D92-C486-41EC-A5AF-5E69A01B8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17728</xdr:rowOff>
    </xdr:from>
    <xdr:to>
      <xdr:col>4</xdr:col>
      <xdr:colOff>1263914</xdr:colOff>
      <xdr:row>35</xdr:row>
      <xdr:rowOff>27444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DE24553-12AF-4CC8-B79A-E97DE77CE3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329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CC2070F-FBC8-4B1A-B556-B47B6F620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2FDFFEF-D671-4908-9BAE-69A20C0BC2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4634A4-0073-44FD-8E46-10B653FCF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496815</xdr:colOff>
      <xdr:row>36</xdr:row>
      <xdr:rowOff>134434</xdr:rowOff>
    </xdr:from>
    <xdr:to>
      <xdr:col>4</xdr:col>
      <xdr:colOff>126110</xdr:colOff>
      <xdr:row>42</xdr:row>
      <xdr:rowOff>168346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1C8CD2-387B-4173-8849-028982380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34915" y="87640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C15DDC-A1CA-49BD-9DB6-40331E7CA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35</xdr:row>
      <xdr:rowOff>114300</xdr:rowOff>
    </xdr:from>
    <xdr:to>
      <xdr:col>13</xdr:col>
      <xdr:colOff>485775</xdr:colOff>
      <xdr:row>41</xdr:row>
      <xdr:rowOff>52705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C0D4A64-4B43-44D9-948F-105AFEA8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1475" y="85629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31</xdr:row>
      <xdr:rowOff>8203</xdr:rowOff>
    </xdr:from>
    <xdr:to>
      <xdr:col>4</xdr:col>
      <xdr:colOff>1244864</xdr:colOff>
      <xdr:row>35</xdr:row>
      <xdr:rowOff>17919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03C9F0-CCAB-47CC-8D07-D12AF3C250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77234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740A6E9-A907-419D-A290-DBEFBCDA8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EC2B449-0E7E-4416-9401-DD270E901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2C9AF1-B236-4B95-9E14-0658CB539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327854</xdr:colOff>
      <xdr:row>43</xdr:row>
      <xdr:rowOff>36920</xdr:rowOff>
    </xdr:from>
    <xdr:to>
      <xdr:col>3</xdr:col>
      <xdr:colOff>1432251</xdr:colOff>
      <xdr:row>49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28C17B5-984F-4C59-83CA-81A793C530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65954" y="9990545"/>
          <a:ext cx="2514097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34D0CAA-0255-41BF-8CC5-F8906E568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409310</xdr:colOff>
      <xdr:row>43</xdr:row>
      <xdr:rowOff>65088</xdr:rowOff>
    </xdr:from>
    <xdr:to>
      <xdr:col>4</xdr:col>
      <xdr:colOff>1418959</xdr:colOff>
      <xdr:row>47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9A1A36-C65B-423E-86DA-5558F4FBCB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81135" y="1001871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066E3F3-1B8B-4BF5-B440-80DF22C40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126C1E3-EDA9-4977-89A8-67C4B61B4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7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8C6FF11-CECD-46B9-B4DA-09C037410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39104</xdr:colOff>
      <xdr:row>37</xdr:row>
      <xdr:rowOff>139262</xdr:rowOff>
    </xdr:from>
    <xdr:to>
      <xdr:col>4</xdr:col>
      <xdr:colOff>321870</xdr:colOff>
      <xdr:row>43</xdr:row>
      <xdr:rowOff>88076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41853F-2F88-4C5A-A46A-1DAEA35433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5771" y="888109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282574</xdr:colOff>
      <xdr:row>31</xdr:row>
      <xdr:rowOff>21168</xdr:rowOff>
    </xdr:from>
    <xdr:to>
      <xdr:col>4</xdr:col>
      <xdr:colOff>1292223</xdr:colOff>
      <xdr:row>35</xdr:row>
      <xdr:rowOff>26651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B98189-339A-477F-B77D-665270A6D1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4" y="7672918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7A9B99-5731-4252-B75D-D72FB3743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47C560F-A2C7-4CC4-847E-5056907DB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C57BA5-328A-474E-94A8-9036D0434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440E3FC-E073-4075-8642-D22A672CD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5C46F28-F466-47B0-8753-5C3150D4E1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758774</xdr:colOff>
      <xdr:row>37</xdr:row>
      <xdr:rowOff>13324</xdr:rowOff>
    </xdr:from>
    <xdr:to>
      <xdr:col>4</xdr:col>
      <xdr:colOff>238264</xdr:colOff>
      <xdr:row>42</xdr:row>
      <xdr:rowOff>168512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B3047E-D101-4591-A7B2-6198AD7E05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1107" y="8755157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67734</xdr:rowOff>
    </xdr:from>
    <xdr:to>
      <xdr:col>4</xdr:col>
      <xdr:colOff>1265766</xdr:colOff>
      <xdr:row>35</xdr:row>
      <xdr:rowOff>74275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3A8D1A-FDFF-45FD-903B-00D5819246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719484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2F48A6-452D-4963-B980-FFB49D3B3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B8FEE4-0A9F-40B1-A16C-6C1BC1418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DC4E337-936E-4542-8D42-98B1BC1D9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7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6B57D5-DAC9-4A2B-BDC8-6F1C8FA7E6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674108</xdr:colOff>
      <xdr:row>37</xdr:row>
      <xdr:rowOff>12265</xdr:rowOff>
    </xdr:from>
    <xdr:to>
      <xdr:col>4</xdr:col>
      <xdr:colOff>152540</xdr:colOff>
      <xdr:row>42</xdr:row>
      <xdr:rowOff>162162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D935DD-F297-4954-BE99-6BFD20DDF9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16441" y="8754098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271992</xdr:colOff>
      <xdr:row>31</xdr:row>
      <xdr:rowOff>52917</xdr:rowOff>
    </xdr:from>
    <xdr:to>
      <xdr:col>4</xdr:col>
      <xdr:colOff>1281641</xdr:colOff>
      <xdr:row>35</xdr:row>
      <xdr:rowOff>58400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D2C8301-6D09-4148-BCF4-9AA0C64A6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1742" y="7704667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EFA068-C542-4C82-AA5F-7D7664CF2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CC15A2-16A3-4C1D-8E04-AD24E368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762001</xdr:colOff>
      <xdr:row>26</xdr:row>
      <xdr:rowOff>211667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77DFD21F-E31F-45E4-AF16-D910EC6CF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1" y="7222067"/>
          <a:ext cx="1606220" cy="1333500"/>
        </a:xfrm>
        <a:prstGeom prst="rect">
          <a:avLst/>
        </a:prstGeom>
      </xdr:spPr>
    </xdr:pic>
    <xdr:clientData/>
  </xdr:oneCellAnchor>
</xdr:wsDr>
</file>

<file path=xl/drawings/drawing17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C9656C1-FA9B-4542-9A3F-D5D37B522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A117CA-546E-4711-B098-A088B3FEE1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9247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44FAD1D-D264-4BE3-97B7-A83596C9BD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731917"/>
          <a:ext cx="1009649" cy="732822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29FB160F-4021-41DE-BCCE-B491E3FCE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7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125F3C3-ABD3-4B45-8281-A5279A8D1E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E7DFE9-6509-427D-B0F1-AE982F43F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804102</xdr:colOff>
      <xdr:row>36</xdr:row>
      <xdr:rowOff>174503</xdr:rowOff>
    </xdr:from>
    <xdr:to>
      <xdr:col>4</xdr:col>
      <xdr:colOff>183416</xdr:colOff>
      <xdr:row>42</xdr:row>
      <xdr:rowOff>147482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4821F1B-570B-4927-A33F-452CE3233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6435" y="873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4F9A82-A814-4B93-AE56-FB98B1C9A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271727</xdr:colOff>
      <xdr:row>30</xdr:row>
      <xdr:rowOff>170921</xdr:rowOff>
    </xdr:from>
    <xdr:to>
      <xdr:col>4</xdr:col>
      <xdr:colOff>1281376</xdr:colOff>
      <xdr:row>35</xdr:row>
      <xdr:rowOff>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F3C619-7FD7-49CC-B3B5-DF322501DB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10" y="764275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3C5217-B83F-485D-A47A-ADA203CFF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169334</xdr:colOff>
      <xdr:row>0</xdr:row>
      <xdr:rowOff>0</xdr:rowOff>
    </xdr:from>
    <xdr:to>
      <xdr:col>16</xdr:col>
      <xdr:colOff>361502</xdr:colOff>
      <xdr:row>21</xdr:row>
      <xdr:rowOff>218847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20161E3-AFF5-83CB-46F6-3ACD12A85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79834" y="0"/>
          <a:ext cx="4372585" cy="5944430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27</xdr:row>
      <xdr:rowOff>31751</xdr:rowOff>
    </xdr:from>
    <xdr:ext cx="1466850" cy="1217794"/>
    <xdr:pic>
      <xdr:nvPicPr>
        <xdr:cNvPr id="10" name="Picture 9">
          <a:extLst>
            <a:ext uri="{FF2B5EF4-FFF2-40B4-BE49-F238E27FC236}">
              <a16:creationId xmlns:a16="http://schemas.microsoft.com/office/drawing/2014/main" id="{6B43CB8C-B62C-4839-8256-A31050D2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7217834"/>
          <a:ext cx="1466850" cy="1217794"/>
        </a:xfrm>
        <a:prstGeom prst="rect">
          <a:avLst/>
        </a:prstGeom>
      </xdr:spPr>
    </xdr:pic>
    <xdr:clientData/>
  </xdr:oneCellAnchor>
</xdr:wsDr>
</file>

<file path=xl/drawings/drawing1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4CFE2BB-C78A-47C0-930B-34BFB1F42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308E4-7F1C-439A-9F66-13D19B881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793518</xdr:colOff>
      <xdr:row>29</xdr:row>
      <xdr:rowOff>174503</xdr:rowOff>
    </xdr:from>
    <xdr:to>
      <xdr:col>4</xdr:col>
      <xdr:colOff>172832</xdr:colOff>
      <xdr:row>35</xdr:row>
      <xdr:rowOff>179232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C4D2D1-332B-475D-8450-22B271E5FE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1" y="746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B220B11-6831-4BC2-8CCA-2D30003C8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43920</xdr:rowOff>
    </xdr:from>
    <xdr:to>
      <xdr:col>4</xdr:col>
      <xdr:colOff>1334293</xdr:colOff>
      <xdr:row>35</xdr:row>
      <xdr:rowOff>53636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347AF43-9B80-4F3D-8AF9-8233F59F94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69567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7C4FBAD-CB24-417D-8A28-D7E43C159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4C27CA-8C0F-0976-8795-6C5D0994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89333" y="736298"/>
          <a:ext cx="3264254" cy="186528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9AEBCBC-65A5-4D80-BCC1-0FD10F610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396823</xdr:colOff>
      <xdr:row>42</xdr:row>
      <xdr:rowOff>189010</xdr:rowOff>
    </xdr:from>
    <xdr:to>
      <xdr:col>3</xdr:col>
      <xdr:colOff>1602719</xdr:colOff>
      <xdr:row>49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E06548-91C2-43C7-B2BC-F9CFA4E994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4923" y="9942610"/>
          <a:ext cx="2510821" cy="1106630"/>
        </a:xfrm>
        <a:prstGeom prst="rect">
          <a:avLst/>
        </a:prstGeom>
      </xdr:spPr>
    </xdr:pic>
    <xdr:clientData/>
  </xdr:twoCellAnchor>
  <xdr:twoCellAnchor editAs="oneCell">
    <xdr:from>
      <xdr:col>3</xdr:col>
      <xdr:colOff>1695452</xdr:colOff>
      <xdr:row>45</xdr:row>
      <xdr:rowOff>147636</xdr:rowOff>
    </xdr:from>
    <xdr:to>
      <xdr:col>4</xdr:col>
      <xdr:colOff>978695</xdr:colOff>
      <xdr:row>49</xdr:row>
      <xdr:rowOff>167784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BD54D1-67E9-448D-B1E7-E5B19F8A1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38477" y="10472736"/>
          <a:ext cx="1007268" cy="744048"/>
        </a:xfrm>
        <a:prstGeom prst="rect">
          <a:avLst/>
        </a:prstGeom>
      </xdr:spPr>
    </xdr:pic>
    <xdr:clientData/>
  </xdr:twoCellAnchor>
  <xdr:oneCellAnchor>
    <xdr:from>
      <xdr:col>5</xdr:col>
      <xdr:colOff>964405</xdr:colOff>
      <xdr:row>43</xdr:row>
      <xdr:rowOff>0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31523902-31BC-4447-97CB-04261A3A3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49" y="9965531"/>
          <a:ext cx="1583531" cy="1314664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ECB55A2-CF13-46EA-A947-AE1A40DC6D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0D9D12-B800-49F6-909F-968DC219C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FAE3EA-7F1E-4E0A-B27A-B1539EE9E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430475</xdr:colOff>
      <xdr:row>45</xdr:row>
      <xdr:rowOff>118007</xdr:rowOff>
    </xdr:from>
    <xdr:to>
      <xdr:col>4</xdr:col>
      <xdr:colOff>1440124</xdr:colOff>
      <xdr:row>49</xdr:row>
      <xdr:rowOff>138306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0C8AF34-FD26-4498-ABBD-020C45E7D0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16058" y="1037325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FA77F73-2D1C-4849-93F6-2F649F986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C2035643-BBC9-41B7-A699-3C75EA2E3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D10FB7-BC92-4E5E-B90D-7464EF8CD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271946</xdr:colOff>
      <xdr:row>45</xdr:row>
      <xdr:rowOff>23907</xdr:rowOff>
    </xdr:from>
    <xdr:to>
      <xdr:col>3</xdr:col>
      <xdr:colOff>1371744</xdr:colOff>
      <xdr:row>51</xdr:row>
      <xdr:rowOff>41512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94EB6D5-181E-4317-B2FE-8AC4E34BDB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14279" y="10279157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1C8DC87-C54F-4EA9-B4FF-2A61C2497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ACD298C-525D-4A97-882F-02AE4D37A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E6C41D8-DEED-4CFB-B0BF-62B27F9CF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FD77CA-2E0A-4EAB-AA7F-A53E4D0E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840389</xdr:colOff>
      <xdr:row>36</xdr:row>
      <xdr:rowOff>139730</xdr:rowOff>
    </xdr:from>
    <xdr:to>
      <xdr:col>4</xdr:col>
      <xdr:colOff>219703</xdr:colOff>
      <xdr:row>42</xdr:row>
      <xdr:rowOff>118756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7BA0CAD-1589-4064-BDE3-2D1529D828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1210" y="8712230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98FF05-8093-43A1-805A-8EEA4523D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253584</xdr:colOff>
      <xdr:row>31</xdr:row>
      <xdr:rowOff>15196</xdr:rowOff>
    </xdr:from>
    <xdr:to>
      <xdr:col>4</xdr:col>
      <xdr:colOff>1263233</xdr:colOff>
      <xdr:row>35</xdr:row>
      <xdr:rowOff>24912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26CF803-AA1A-4FDB-A91D-8D028A4EC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7655" y="7689625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4A62BB-8E52-484E-82E9-61B6D002F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0AA74CD-CAED-427A-BF3C-D73484EBE7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610609</xdr:colOff>
      <xdr:row>37</xdr:row>
      <xdr:rowOff>45071</xdr:rowOff>
    </xdr:from>
    <xdr:to>
      <xdr:col>4</xdr:col>
      <xdr:colOff>90099</xdr:colOff>
      <xdr:row>42</xdr:row>
      <xdr:rowOff>200259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9EFC00-5F8F-4FA5-82C6-AE33C51E0F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2942" y="878690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213784</xdr:colOff>
      <xdr:row>31</xdr:row>
      <xdr:rowOff>57152</xdr:rowOff>
    </xdr:from>
    <xdr:to>
      <xdr:col>4</xdr:col>
      <xdr:colOff>1223433</xdr:colOff>
      <xdr:row>35</xdr:row>
      <xdr:rowOff>63693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1F009FF-3DF5-4F79-877D-F037ED8D9C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3534" y="7708902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376E14-402F-4F24-8042-BEF66C05A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E9EB0E-739A-42E8-9B0F-EF8FB1139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232833</xdr:colOff>
      <xdr:row>0</xdr:row>
      <xdr:rowOff>0</xdr:rowOff>
    </xdr:from>
    <xdr:to>
      <xdr:col>14</xdr:col>
      <xdr:colOff>821684</xdr:colOff>
      <xdr:row>17</xdr:row>
      <xdr:rowOff>193239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B934E1-37E6-4B17-A65B-E62C14B40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81383" y="0"/>
          <a:ext cx="3894026" cy="497478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78D058A-21A7-46F2-906F-1ACFC1C9AC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634947</xdr:colOff>
      <xdr:row>37</xdr:row>
      <xdr:rowOff>58042</xdr:rowOff>
    </xdr:from>
    <xdr:to>
      <xdr:col>4</xdr:col>
      <xdr:colOff>114437</xdr:colOff>
      <xdr:row>43</xdr:row>
      <xdr:rowOff>12147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FE029A-4343-4DED-8C30-B94B3810C8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70666" y="8880573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242890</xdr:colOff>
      <xdr:row>31</xdr:row>
      <xdr:rowOff>64292</xdr:rowOff>
    </xdr:from>
    <xdr:to>
      <xdr:col>4</xdr:col>
      <xdr:colOff>1252539</xdr:colOff>
      <xdr:row>35</xdr:row>
      <xdr:rowOff>72534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64C37B5-66F2-401B-9057-FB29B14D79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796" y="7803355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666748</xdr:colOff>
      <xdr:row>43</xdr:row>
      <xdr:rowOff>35719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152B4C28-D6D7-4ACC-9C95-3CEC778B6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2467" y="10001250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83343</xdr:colOff>
      <xdr:row>0</xdr:row>
      <xdr:rowOff>797719</xdr:rowOff>
    </xdr:from>
    <xdr:to>
      <xdr:col>17</xdr:col>
      <xdr:colOff>250722</xdr:colOff>
      <xdr:row>19</xdr:row>
      <xdr:rowOff>179245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05F64E-1841-4D39-B563-F33990B8D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74781" y="797719"/>
          <a:ext cx="4953691" cy="4667901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B640EED-88CD-4FCA-8942-8A065EEA3A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E3B066-46E2-461B-8B52-426561A16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FF0EC5-F4AB-4E4B-AA6C-5F02DB846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229392</xdr:colOff>
      <xdr:row>31</xdr:row>
      <xdr:rowOff>43923</xdr:rowOff>
    </xdr:from>
    <xdr:to>
      <xdr:col>4</xdr:col>
      <xdr:colOff>1239041</xdr:colOff>
      <xdr:row>35</xdr:row>
      <xdr:rowOff>53639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8B7F39-4A82-4D9C-90C7-7F85E630AF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5" y="769567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B6F1DC-4A71-44BC-A1B9-991B9937B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E5027D6-BC92-43B0-936A-770ECDEED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333E524-F281-4C3E-8051-96BEC0500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5915" y="8762982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769362</xdr:colOff>
      <xdr:row>30</xdr:row>
      <xdr:rowOff>76823</xdr:rowOff>
    </xdr:from>
    <xdr:to>
      <xdr:col>4</xdr:col>
      <xdr:colOff>144077</xdr:colOff>
      <xdr:row>36</xdr:row>
      <xdr:rowOff>83844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C5B1FE-6F30-4368-B6B0-DEF4C27B81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5" y="7548656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6CFCD5-CB6B-43FF-8207-411308CAE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2F16E6B-E32E-47FB-8D07-9537F9C27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27D1961-7CA7-4557-AB7C-423A7A3058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C6BC1B-FF72-4415-BBD7-41BB5665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9878662-FF26-4E89-83A2-5F6DCFC21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250559</xdr:colOff>
      <xdr:row>31</xdr:row>
      <xdr:rowOff>65089</xdr:rowOff>
    </xdr:from>
    <xdr:to>
      <xdr:col>4</xdr:col>
      <xdr:colOff>1260208</xdr:colOff>
      <xdr:row>35</xdr:row>
      <xdr:rowOff>74805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2E446F-4660-47C5-B041-DC0E6B2E73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2" y="77168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77D559-0F4D-4505-BA21-8E0074F0A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BBDDA6D-D7F6-46B5-AA86-0EB189AC6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116415</xdr:colOff>
      <xdr:row>30</xdr:row>
      <xdr:rowOff>63482</xdr:rowOff>
    </xdr:from>
    <xdr:to>
      <xdr:col>3</xdr:col>
      <xdr:colOff>1093357</xdr:colOff>
      <xdr:row>34</xdr:row>
      <xdr:rowOff>169332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4EA90BD-BBC4-4EBF-9B27-EE2334BD6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915" y="7535315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811692</xdr:colOff>
      <xdr:row>37</xdr:row>
      <xdr:rowOff>13322</xdr:rowOff>
    </xdr:from>
    <xdr:to>
      <xdr:col>4</xdr:col>
      <xdr:colOff>186407</xdr:colOff>
      <xdr:row>42</xdr:row>
      <xdr:rowOff>168510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D48DC1-E258-4E37-B654-D0B4FC8EFE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8755155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DB7B898-A488-4AB6-8E97-2834F9D09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F22BA7B-2CB2-4035-878E-03275B88D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84C86D2-6E2E-4055-A231-DB5B700147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3FB6B1-CCF8-4A76-B520-16EE8927D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B515C2-A57C-4E85-8B72-E28DF5D94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0696A3-47B2-4919-ADEE-D97B80F71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811692</xdr:colOff>
      <xdr:row>30</xdr:row>
      <xdr:rowOff>65182</xdr:rowOff>
    </xdr:from>
    <xdr:to>
      <xdr:col>4</xdr:col>
      <xdr:colOff>185349</xdr:colOff>
      <xdr:row>36</xdr:row>
      <xdr:rowOff>66912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6D63E1-7D7F-41BC-856A-3B60A4456A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753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250825</xdr:colOff>
      <xdr:row>31</xdr:row>
      <xdr:rowOff>31750</xdr:rowOff>
    </xdr:from>
    <xdr:to>
      <xdr:col>4</xdr:col>
      <xdr:colOff>1260474</xdr:colOff>
      <xdr:row>35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856F162-D791-43BA-8262-AF8655371E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408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3E4D98A3-197D-42BA-9184-CA4796FA7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84667</xdr:colOff>
      <xdr:row>36</xdr:row>
      <xdr:rowOff>116416</xdr:rowOff>
    </xdr:from>
    <xdr:to>
      <xdr:col>12</xdr:col>
      <xdr:colOff>193775</xdr:colOff>
      <xdr:row>41</xdr:row>
      <xdr:rowOff>10600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048A4E-8E14-4B97-84B3-786822E7B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37992" y="8746066"/>
          <a:ext cx="1480708" cy="83715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14</xdr:col>
      <xdr:colOff>341220</xdr:colOff>
      <xdr:row>6</xdr:row>
      <xdr:rowOff>137955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D8D75C-E06F-F865-3A71-0E4D6AAB9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90417" y="0"/>
          <a:ext cx="3124636" cy="2667372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0DCE94D-AFAF-44F6-9627-148C0E044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19CCF4-1A2E-4A7C-B578-BD94830B6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12B17-D408-4249-8BE2-F47246270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ABE806-E559-4AC0-A23D-2C284F9DB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790525</xdr:colOff>
      <xdr:row>37</xdr:row>
      <xdr:rowOff>75764</xdr:rowOff>
    </xdr:from>
    <xdr:to>
      <xdr:col>4</xdr:col>
      <xdr:colOff>164182</xdr:colOff>
      <xdr:row>43</xdr:row>
      <xdr:rowOff>24578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9D5F37E-563B-4F43-B278-A5D5733C69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2858" y="8817597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261408</xdr:colOff>
      <xdr:row>31</xdr:row>
      <xdr:rowOff>31750</xdr:rowOff>
    </xdr:from>
    <xdr:to>
      <xdr:col>4</xdr:col>
      <xdr:colOff>1271057</xdr:colOff>
      <xdr:row>35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33C427-AC25-49CC-B8BF-74818CC141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991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945E30A1-E2B6-4A67-BAE5-EC0CB5388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84667</xdr:colOff>
      <xdr:row>36</xdr:row>
      <xdr:rowOff>116416</xdr:rowOff>
    </xdr:from>
    <xdr:to>
      <xdr:col>12</xdr:col>
      <xdr:colOff>193775</xdr:colOff>
      <xdr:row>41</xdr:row>
      <xdr:rowOff>10600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5D36CD-9DBB-45B0-85CB-5CBB1320B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8678333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285750</xdr:colOff>
      <xdr:row>0</xdr:row>
      <xdr:rowOff>211667</xdr:rowOff>
    </xdr:from>
    <xdr:to>
      <xdr:col>13</xdr:col>
      <xdr:colOff>1026982</xdr:colOff>
      <xdr:row>6</xdr:row>
      <xdr:rowOff>120990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5E6EC1E-BE00-CB9A-2722-9235E50A3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52833" y="211667"/>
          <a:ext cx="2857899" cy="243874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FE1EA2A-FF41-4AD5-A242-B4B8A65221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559435</xdr:colOff>
      <xdr:row>34</xdr:row>
      <xdr:rowOff>93189</xdr:rowOff>
    </xdr:from>
    <xdr:to>
      <xdr:col>4</xdr:col>
      <xdr:colOff>299145</xdr:colOff>
      <xdr:row>41</xdr:row>
      <xdr:rowOff>40571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031534-2F44-42A0-8105-5E92FB6225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95154" y="8463283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4FE2D9-B96C-49A1-BDCE-EA4E22AC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12</xdr:col>
      <xdr:colOff>185739</xdr:colOff>
      <xdr:row>31</xdr:row>
      <xdr:rowOff>16669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CFB2A8D0-2727-42CF-91C9-F57E60408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9264" y="782716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3AC780-5EF9-4597-BA12-6F5B34BE1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196826-A0C2-4873-BE46-5255B2A030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315383</xdr:colOff>
      <xdr:row>29</xdr:row>
      <xdr:rowOff>35985</xdr:rowOff>
    </xdr:from>
    <xdr:to>
      <xdr:col>4</xdr:col>
      <xdr:colOff>1392766</xdr:colOff>
      <xdr:row>33</xdr:row>
      <xdr:rowOff>91523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7DD4BA7-1FA9-4B29-86E2-54041A1A59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5289" y="7501204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D65B85-D4DB-4C76-93FC-1A3B587AB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404813</xdr:colOff>
      <xdr:row>0</xdr:row>
      <xdr:rowOff>261937</xdr:rowOff>
    </xdr:from>
    <xdr:to>
      <xdr:col>20</xdr:col>
      <xdr:colOff>374910</xdr:colOff>
      <xdr:row>13</xdr:row>
      <xdr:rowOff>12431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BBE599-1391-1F15-492D-2F6F8E14D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846219" y="261937"/>
          <a:ext cx="7554379" cy="37629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0726779-9F95-4F5A-B2AD-20071B7101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7562EC-C87E-4FFF-B38D-7776FC2DF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B9DE86-5122-45DC-8A79-E601067AD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4271B19-5CC2-43C9-A745-47DF2D23A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801109</xdr:colOff>
      <xdr:row>36</xdr:row>
      <xdr:rowOff>171013</xdr:rowOff>
    </xdr:from>
    <xdr:to>
      <xdr:col>4</xdr:col>
      <xdr:colOff>174766</xdr:colOff>
      <xdr:row>42</xdr:row>
      <xdr:rowOff>140994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6B81D45-F491-4001-A85E-4FC4FB011C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3442" y="8732930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356658</xdr:colOff>
      <xdr:row>31</xdr:row>
      <xdr:rowOff>31750</xdr:rowOff>
    </xdr:from>
    <xdr:to>
      <xdr:col>4</xdr:col>
      <xdr:colOff>1366307</xdr:colOff>
      <xdr:row>35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1A39671-5C99-4B50-9036-8F9E6DC495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42241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3BC6F354-8956-491F-9660-D9B1A8584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2</xdr:col>
      <xdr:colOff>158750</xdr:colOff>
      <xdr:row>30</xdr:row>
      <xdr:rowOff>0</xdr:rowOff>
    </xdr:from>
    <xdr:to>
      <xdr:col>3</xdr:col>
      <xdr:colOff>1135692</xdr:colOff>
      <xdr:row>34</xdr:row>
      <xdr:rowOff>105850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4C749E0-1630-4742-A5AC-EC34A61A9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0" y="7471833"/>
          <a:ext cx="1484942" cy="8361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9EFAE48-B96F-4AAD-992F-F1E231CA08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3E2275-7A2F-459A-BF38-EF65A6F01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A7047C-ECF6-4DCF-BE87-E7B2094F6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7A4460C-FB82-4429-9F75-960CE4E31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748193</xdr:colOff>
      <xdr:row>37</xdr:row>
      <xdr:rowOff>65182</xdr:rowOff>
    </xdr:from>
    <xdr:to>
      <xdr:col>4</xdr:col>
      <xdr:colOff>121850</xdr:colOff>
      <xdr:row>43</xdr:row>
      <xdr:rowOff>13996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547AEB-1D3E-4A08-9A50-AB822AF2AD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6" y="880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335492</xdr:colOff>
      <xdr:row>31</xdr:row>
      <xdr:rowOff>10583</xdr:rowOff>
    </xdr:from>
    <xdr:to>
      <xdr:col>4</xdr:col>
      <xdr:colOff>1345141</xdr:colOff>
      <xdr:row>35</xdr:row>
      <xdr:rowOff>16066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000BB06-9006-4693-A15D-013DDDB4AD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1075" y="7662333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4D9EBEDB-70E4-4B8B-BB38-42E30F00F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2</xdr:col>
      <xdr:colOff>116416</xdr:colOff>
      <xdr:row>30</xdr:row>
      <xdr:rowOff>10584</xdr:rowOff>
    </xdr:from>
    <xdr:to>
      <xdr:col>3</xdr:col>
      <xdr:colOff>1093358</xdr:colOff>
      <xdr:row>34</xdr:row>
      <xdr:rowOff>116434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485E0D3-69CF-4EAA-9500-F3F2B5B53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916" y="7482417"/>
          <a:ext cx="1484942" cy="8361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B2521CC-19DB-4D91-8926-5194CD0653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CCF7F4-FC1B-4915-9E62-46901DFA0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422330-B75F-4902-8754-80D88056C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6A9E52-4F47-40F4-83E5-5C54BF85B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748192</xdr:colOff>
      <xdr:row>37</xdr:row>
      <xdr:rowOff>65181</xdr:rowOff>
    </xdr:from>
    <xdr:to>
      <xdr:col>4</xdr:col>
      <xdr:colOff>121849</xdr:colOff>
      <xdr:row>43</xdr:row>
      <xdr:rowOff>13995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93F67C-7974-4A1A-B744-C5F0F25C94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5" y="8807014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293158</xdr:colOff>
      <xdr:row>31</xdr:row>
      <xdr:rowOff>31749</xdr:rowOff>
    </xdr:from>
    <xdr:to>
      <xdr:col>4</xdr:col>
      <xdr:colOff>1302807</xdr:colOff>
      <xdr:row>35</xdr:row>
      <xdr:rowOff>37232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5782F3C-0A7D-4D2F-865A-D389E3CF89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78741" y="7683499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7D0F222D-6337-42B9-AC68-CA2D3214D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822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2</xdr:col>
      <xdr:colOff>190500</xdr:colOff>
      <xdr:row>30</xdr:row>
      <xdr:rowOff>1</xdr:rowOff>
    </xdr:from>
    <xdr:to>
      <xdr:col>3</xdr:col>
      <xdr:colOff>1167442</xdr:colOff>
      <xdr:row>34</xdr:row>
      <xdr:rowOff>105851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B567BC-8764-4C3A-A3E2-0E0A2270E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" y="7471834"/>
          <a:ext cx="1484942" cy="836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B5828DD-913E-4C43-83C6-3C1662C35A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F4567B-B9A5-4032-9382-228B710B2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772352</xdr:colOff>
      <xdr:row>36</xdr:row>
      <xdr:rowOff>112516</xdr:rowOff>
    </xdr:from>
    <xdr:to>
      <xdr:col>4</xdr:col>
      <xdr:colOff>151666</xdr:colOff>
      <xdr:row>42</xdr:row>
      <xdr:rowOff>91542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E3D98C-490F-4834-8131-4E4BEF5DEA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3173" y="8685016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DC952A-9BC3-4929-9408-446DADA4A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267192</xdr:colOff>
      <xdr:row>31</xdr:row>
      <xdr:rowOff>42410</xdr:rowOff>
    </xdr:from>
    <xdr:to>
      <xdr:col>4</xdr:col>
      <xdr:colOff>1276841</xdr:colOff>
      <xdr:row>35</xdr:row>
      <xdr:rowOff>52126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8E35D1-5CE6-44CE-8F62-96CF59CB84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1263" y="7716839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A194FCF-06E9-4D14-A8CE-77AE972B5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231321</xdr:colOff>
      <xdr:row>12</xdr:row>
      <xdr:rowOff>204107</xdr:rowOff>
    </xdr:from>
    <xdr:to>
      <xdr:col>17</xdr:col>
      <xdr:colOff>29307</xdr:colOff>
      <xdr:row>21</xdr:row>
      <xdr:rowOff>68035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B265E8A-DC92-4EA2-83CE-19FE2148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96892" y="3741964"/>
          <a:ext cx="4832629" cy="206828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4194F97-ED82-4D72-B476-E9A914A30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1024D6-6299-47A1-AEC8-B33F2AE81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613569</xdr:colOff>
      <xdr:row>29</xdr:row>
      <xdr:rowOff>47625</xdr:rowOff>
    </xdr:from>
    <xdr:to>
      <xdr:col>13</xdr:col>
      <xdr:colOff>738740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7064C6-4929-4195-B813-F82D216DB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388143</xdr:colOff>
      <xdr:row>31</xdr:row>
      <xdr:rowOff>12172</xdr:rowOff>
    </xdr:from>
    <xdr:to>
      <xdr:col>4</xdr:col>
      <xdr:colOff>1397792</xdr:colOff>
      <xdr:row>35</xdr:row>
      <xdr:rowOff>21888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81FC3D4-A3C2-411E-8F78-DCE62DBDDD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73726" y="76639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7AA5758-023C-4B91-A7CE-62F4950FB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326227B5-D0BB-412C-9A54-CB1631EA5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169332</xdr:colOff>
      <xdr:row>30</xdr:row>
      <xdr:rowOff>10566</xdr:rowOff>
    </xdr:from>
    <xdr:to>
      <xdr:col>3</xdr:col>
      <xdr:colOff>1146274</xdr:colOff>
      <xdr:row>34</xdr:row>
      <xdr:rowOff>116416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2786964-CE32-4D68-ADF4-3CC2E2793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832" y="7482399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864609</xdr:colOff>
      <xdr:row>37</xdr:row>
      <xdr:rowOff>2738</xdr:rowOff>
    </xdr:from>
    <xdr:to>
      <xdr:col>4</xdr:col>
      <xdr:colOff>239324</xdr:colOff>
      <xdr:row>42</xdr:row>
      <xdr:rowOff>157926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AB9E02-AFF5-40AD-B54D-4A0EA9CABA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6942" y="8744571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57149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1710F9A-3A56-4A59-A794-45A80E8DA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57149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D39FE1-38AD-41F9-9F27-36421AB6C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CED6613-1341-4F89-9952-0309476C8E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E46FCB-A0DD-4194-B992-EBB0B0E70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104CA0-A29E-4538-9188-9D9D9916B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1266559</xdr:colOff>
      <xdr:row>46</xdr:row>
      <xdr:rowOff>75672</xdr:rowOff>
    </xdr:from>
    <xdr:to>
      <xdr:col>5</xdr:col>
      <xdr:colOff>688708</xdr:colOff>
      <xdr:row>50</xdr:row>
      <xdr:rowOff>95972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4AD2C9-04FB-4768-9854-815438E895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4452142" y="105108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1CA34E1-3026-4759-BECE-8DC0370D4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4CC85818-5EF7-41EE-9802-A5C497754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3</xdr:col>
      <xdr:colOff>1672165</xdr:colOff>
      <xdr:row>44</xdr:row>
      <xdr:rowOff>158732</xdr:rowOff>
    </xdr:from>
    <xdr:to>
      <xdr:col>4</xdr:col>
      <xdr:colOff>1432024</xdr:colOff>
      <xdr:row>49</xdr:row>
      <xdr:rowOff>84665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CC2398E-7920-4363-8796-0DF3156A8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2665" y="10223482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409525</xdr:colOff>
      <xdr:row>44</xdr:row>
      <xdr:rowOff>45071</xdr:rowOff>
    </xdr:from>
    <xdr:to>
      <xdr:col>3</xdr:col>
      <xdr:colOff>1509323</xdr:colOff>
      <xdr:row>50</xdr:row>
      <xdr:rowOff>52093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760E658-5464-428C-B42A-92B72EB05C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51858" y="10109821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44A79E7-04DF-4808-85B4-304F920DF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6559850-680C-4052-83D2-53254B854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F05D0F2-4934-4268-85EB-55140B602B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BE2E96-B3BB-4428-A514-99A0EBA6E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4C9F6E7-5FD3-4E02-9F0C-76ED60F4B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023561-5794-4A7D-9F1E-9F5218005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621192</xdr:colOff>
      <xdr:row>43</xdr:row>
      <xdr:rowOff>107515</xdr:rowOff>
    </xdr:from>
    <xdr:to>
      <xdr:col>3</xdr:col>
      <xdr:colOff>1719932</xdr:colOff>
      <xdr:row>49</xdr:row>
      <xdr:rowOff>109245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7B6FA2C-5928-4C51-AF42-7DBF6AB5C0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63525" y="9992348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3</xdr:col>
      <xdr:colOff>1552575</xdr:colOff>
      <xdr:row>46</xdr:row>
      <xdr:rowOff>21166</xdr:rowOff>
    </xdr:from>
    <xdr:to>
      <xdr:col>4</xdr:col>
      <xdr:colOff>837141</xdr:colOff>
      <xdr:row>50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CECAFF-3583-4CA3-8E70-C2193B3738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13075" y="10456333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5FF95A39-4BF9-40A0-A348-95065CFD3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0" y="8170332"/>
          <a:ext cx="1606220" cy="1333500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8D19A2B-B5B6-4227-93BE-E9AE624540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742104</xdr:colOff>
      <xdr:row>30</xdr:row>
      <xdr:rowOff>10412</xdr:rowOff>
    </xdr:from>
    <xdr:to>
      <xdr:col>4</xdr:col>
      <xdr:colOff>221594</xdr:colOff>
      <xdr:row>36</xdr:row>
      <xdr:rowOff>24048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807629C-ED92-4BC2-80DF-071BD70806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7823" y="7570881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314327</xdr:colOff>
      <xdr:row>31</xdr:row>
      <xdr:rowOff>40482</xdr:rowOff>
    </xdr:from>
    <xdr:to>
      <xdr:col>4</xdr:col>
      <xdr:colOff>1323976</xdr:colOff>
      <xdr:row>35</xdr:row>
      <xdr:rowOff>48724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04E7E0-62A7-4A65-8F7E-BEC74D1A9C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4233" y="7779545"/>
          <a:ext cx="1009649" cy="734523"/>
        </a:xfrm>
        <a:prstGeom prst="rect">
          <a:avLst/>
        </a:prstGeom>
      </xdr:spPr>
    </xdr:pic>
    <xdr:clientData/>
  </xdr:twoCellAnchor>
  <xdr:oneCellAnchor>
    <xdr:from>
      <xdr:col>12</xdr:col>
      <xdr:colOff>119061</xdr:colOff>
      <xdr:row>26</xdr:row>
      <xdr:rowOff>119062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870909E3-B99F-4065-8603-8B5974F4A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8686" y="7129462"/>
          <a:ext cx="1583531" cy="1314664"/>
        </a:xfrm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0D0E0B9-E883-465C-AE94-AA4C87B78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C9E4CE-6D2E-466E-9473-4EB08E10C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</xdr:col>
      <xdr:colOff>674197</xdr:colOff>
      <xdr:row>42</xdr:row>
      <xdr:rowOff>150046</xdr:rowOff>
    </xdr:from>
    <xdr:to>
      <xdr:col>3</xdr:col>
      <xdr:colOff>1539413</xdr:colOff>
      <xdr:row>48</xdr:row>
      <xdr:rowOff>51927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7781555-2FFB-44B1-B947-29B8310F0B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16530" y="9854963"/>
          <a:ext cx="2283383" cy="991964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3C0AFB-8863-44F0-A746-BBE566176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462225</xdr:colOff>
      <xdr:row>43</xdr:row>
      <xdr:rowOff>181506</xdr:rowOff>
    </xdr:from>
    <xdr:to>
      <xdr:col>4</xdr:col>
      <xdr:colOff>1471874</xdr:colOff>
      <xdr:row>48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7316D-71FE-4A34-9881-49F7051E6D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47808" y="100663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5AEE6E-6BFD-4C78-B97E-F557039F3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3863CC1-B0AB-42F8-B625-B8F992B78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D8EFB2-3C0C-49FD-83F3-5A88709A5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3E4B682-AAAD-41FD-8AF2-F7C6CF356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BF1724-8D14-42EE-9ABB-89B779F58A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8376274"/>
          <a:ext cx="2514790" cy="1093930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25B5BC-2188-4E5B-BAFF-CB62E7508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DC34828-9921-4682-B6D8-F84F08A9B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B8F446-1C3C-41EA-86B4-D98595501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</xdr:col>
      <xdr:colOff>875279</xdr:colOff>
      <xdr:row>36</xdr:row>
      <xdr:rowOff>44212</xdr:rowOff>
    </xdr:from>
    <xdr:to>
      <xdr:col>4</xdr:col>
      <xdr:colOff>15412</xdr:colOff>
      <xdr:row>41</xdr:row>
      <xdr:rowOff>94260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606C4B1-46D9-4F65-ABCA-4F040E86A0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17612" y="8606129"/>
          <a:ext cx="2283383" cy="991964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2F32B0B-96F2-4750-AAEC-3F410700C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229391</xdr:colOff>
      <xdr:row>30</xdr:row>
      <xdr:rowOff>22756</xdr:rowOff>
    </xdr:from>
    <xdr:to>
      <xdr:col>4</xdr:col>
      <xdr:colOff>1239040</xdr:colOff>
      <xdr:row>34</xdr:row>
      <xdr:rowOff>32472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2C5D88-7E31-4B3C-B180-8F8F54AE71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4" y="7494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D3899A-DE45-4DAA-9982-7EF374CA9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5CAF924-618C-4D2D-9B7B-953348B6C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17F71F-B53F-401B-B364-2D0BAB407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55C930E-B0D7-4281-AA10-8F290397E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C8602A9-1CC4-45AB-9D01-4F883AD127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8376274"/>
          <a:ext cx="2514790" cy="1093930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F093F78-A679-4716-8237-5791B7A96A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3FF6B57-F102-47F5-8CE8-0C287F18E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ED549F-F86A-45EE-ABDA-AC4248D76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353942</xdr:colOff>
      <xdr:row>42</xdr:row>
      <xdr:rowOff>191584</xdr:rowOff>
    </xdr:from>
    <xdr:to>
      <xdr:col>3</xdr:col>
      <xdr:colOff>1707262</xdr:colOff>
      <xdr:row>49</xdr:row>
      <xdr:rowOff>54046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B35746-F516-4DDE-8127-B3B6A87159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2" y="99451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92B7FC9-E0CF-44C5-A097-9F5E6AD07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330465</xdr:colOff>
      <xdr:row>44</xdr:row>
      <xdr:rowOff>17728</xdr:rowOff>
    </xdr:from>
    <xdr:to>
      <xdr:col>4</xdr:col>
      <xdr:colOff>1340114</xdr:colOff>
      <xdr:row>48</xdr:row>
      <xdr:rowOff>27444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A4EBDE-C77B-40A8-8C9A-8E670D7869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7515" y="10152328"/>
          <a:ext cx="1009649" cy="743141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57DD51F-8B59-4E25-9499-D3A7DDAC05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595154</xdr:colOff>
      <xdr:row>34</xdr:row>
      <xdr:rowOff>117003</xdr:rowOff>
    </xdr:from>
    <xdr:to>
      <xdr:col>4</xdr:col>
      <xdr:colOff>334864</xdr:colOff>
      <xdr:row>41</xdr:row>
      <xdr:rowOff>64385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D09E36-90F7-4BFF-8A92-19B208DFF9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30873" y="8487097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CCCA2D-6773-4999-8C8C-E0812E0B3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12</xdr:col>
      <xdr:colOff>185739</xdr:colOff>
      <xdr:row>31</xdr:row>
      <xdr:rowOff>16669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083539F7-0E3B-4CD3-93FA-480DFD7A0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1645" y="785098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1B8D696-FD77-4043-9E35-EB54FAC55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8B6E18-AA3C-4FBE-8A14-E238A80409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255852</xdr:colOff>
      <xdr:row>29</xdr:row>
      <xdr:rowOff>12172</xdr:rowOff>
    </xdr:from>
    <xdr:to>
      <xdr:col>4</xdr:col>
      <xdr:colOff>1333235</xdr:colOff>
      <xdr:row>33</xdr:row>
      <xdr:rowOff>67710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2BFD953-AD6C-496E-A338-DBC9E3B1B1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5758" y="7477391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39F2BF3-1502-4AF7-8272-2564B550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321469</xdr:colOff>
      <xdr:row>0</xdr:row>
      <xdr:rowOff>0</xdr:rowOff>
    </xdr:from>
    <xdr:to>
      <xdr:col>20</xdr:col>
      <xdr:colOff>434461</xdr:colOff>
      <xdr:row>16</xdr:row>
      <xdr:rowOff>10191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5E103A-8B9B-3198-D4B2-D22D663A2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62875" y="0"/>
          <a:ext cx="7697274" cy="4772691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C78DB39-757E-40AC-B6AE-C8ACD6F57D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E98D66-94F4-4EDF-BCCE-34B5785B8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05530F2-2806-4D56-ABEF-92A5BC44B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2DB359-7A1B-4409-BB9E-D41204E3A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854025</xdr:colOff>
      <xdr:row>37</xdr:row>
      <xdr:rowOff>65182</xdr:rowOff>
    </xdr:from>
    <xdr:to>
      <xdr:col>4</xdr:col>
      <xdr:colOff>227682</xdr:colOff>
      <xdr:row>43</xdr:row>
      <xdr:rowOff>13996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39ADE86-7D6E-4CEC-80B1-D31DF5A4B9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6358" y="880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31</xdr:row>
      <xdr:rowOff>21167</xdr:rowOff>
    </xdr:from>
    <xdr:to>
      <xdr:col>4</xdr:col>
      <xdr:colOff>1308342</xdr:colOff>
      <xdr:row>35</xdr:row>
      <xdr:rowOff>84667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971251E-64B2-403E-9141-72A43B38F6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4659" y="7672917"/>
          <a:ext cx="1089266" cy="79375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CA072BA-ECEE-422E-8103-5ACE817CC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57B931-EF80-426D-AB6D-F2F07E00C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243417</xdr:colOff>
      <xdr:row>35</xdr:row>
      <xdr:rowOff>84666</xdr:rowOff>
    </xdr:from>
    <xdr:ext cx="1606220" cy="1333500"/>
    <xdr:pic>
      <xdr:nvPicPr>
        <xdr:cNvPr id="10" name="Picture 9">
          <a:extLst>
            <a:ext uri="{FF2B5EF4-FFF2-40B4-BE49-F238E27FC236}">
              <a16:creationId xmlns:a16="http://schemas.microsoft.com/office/drawing/2014/main" id="{C760406E-259F-404D-BFFD-B32E78986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4392" y="8533341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52917</xdr:colOff>
      <xdr:row>0</xdr:row>
      <xdr:rowOff>10584</xdr:rowOff>
    </xdr:from>
    <xdr:to>
      <xdr:col>13</xdr:col>
      <xdr:colOff>1053060</xdr:colOff>
      <xdr:row>10</xdr:row>
      <xdr:rowOff>211667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1ED7956-FCC9-4E34-858E-0DCB25E37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0" y="10584"/>
          <a:ext cx="2936893" cy="324908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0</xdr:row>
      <xdr:rowOff>232833</xdr:rowOff>
    </xdr:from>
    <xdr:to>
      <xdr:col>18</xdr:col>
      <xdr:colOff>303128</xdr:colOff>
      <xdr:row>8</xdr:row>
      <xdr:rowOff>58560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951885-3DFA-45F4-43BF-A4565B9EA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89167" y="232833"/>
          <a:ext cx="3181794" cy="2524477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9ECC19F-0DA0-4CB5-ACCA-5D7EEF60C2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6A744C-A29E-4846-B588-CDE56459C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0CFACCD-2512-4024-9756-A9931C12B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335227</xdr:colOff>
      <xdr:row>31</xdr:row>
      <xdr:rowOff>43922</xdr:rowOff>
    </xdr:from>
    <xdr:to>
      <xdr:col>4</xdr:col>
      <xdr:colOff>1344876</xdr:colOff>
      <xdr:row>35</xdr:row>
      <xdr:rowOff>53638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1FFCAD-8DDB-4F68-AB64-B6A47FFE85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10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142F75-DBE0-4585-A8CE-1C6BAABBB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BC98E149-BB40-4243-AE32-D8C58106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8085" y="9673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3C320F-038B-4B8A-9ABD-7C371819D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864609</xdr:colOff>
      <xdr:row>37</xdr:row>
      <xdr:rowOff>23904</xdr:rowOff>
    </xdr:from>
    <xdr:to>
      <xdr:col>4</xdr:col>
      <xdr:colOff>239324</xdr:colOff>
      <xdr:row>42</xdr:row>
      <xdr:rowOff>179092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BFCCFB4-37CF-4906-BF11-3472960840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6942" y="8765737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C6C1B3F-D7C2-4123-BD32-DBB39F0D6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31C3035-630D-4811-B503-64CA6D88C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10582</xdr:colOff>
      <xdr:row>0</xdr:row>
      <xdr:rowOff>10584</xdr:rowOff>
    </xdr:from>
    <xdr:to>
      <xdr:col>14</xdr:col>
      <xdr:colOff>164058</xdr:colOff>
      <xdr:row>10</xdr:row>
      <xdr:rowOff>211667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398502A-DEBE-EC6D-F5DA-81D3F9BF9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21082" y="10584"/>
          <a:ext cx="2936893" cy="324908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3811A9A-498A-416F-A59A-D8170574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54CBAA-4571-4D3A-B5DD-DC28CF15A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772352</xdr:colOff>
      <xdr:row>36</xdr:row>
      <xdr:rowOff>112516</xdr:rowOff>
    </xdr:from>
    <xdr:to>
      <xdr:col>4</xdr:col>
      <xdr:colOff>151666</xdr:colOff>
      <xdr:row>42</xdr:row>
      <xdr:rowOff>91542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2C43B60-DA01-4540-9663-89283FCC97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3173" y="8685016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53247D-89CE-4905-BE1C-B852E50EA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267192</xdr:colOff>
      <xdr:row>31</xdr:row>
      <xdr:rowOff>42410</xdr:rowOff>
    </xdr:from>
    <xdr:to>
      <xdr:col>4</xdr:col>
      <xdr:colOff>1276841</xdr:colOff>
      <xdr:row>35</xdr:row>
      <xdr:rowOff>52126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A00642C-6E61-49BC-96E8-FFE357D5C2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1263" y="7716839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9CBD26C-ABC1-45A2-9A12-EC72EC85E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571499</xdr:colOff>
      <xdr:row>12</xdr:row>
      <xdr:rowOff>217714</xdr:rowOff>
    </xdr:from>
    <xdr:to>
      <xdr:col>18</xdr:col>
      <xdr:colOff>2092</xdr:colOff>
      <xdr:row>21</xdr:row>
      <xdr:rowOff>81642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8EC3A8-057F-C2DB-D4B4-CFC69B171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381999" y="3755571"/>
          <a:ext cx="4832629" cy="206828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8AE65DB-E1C6-47A6-B582-DB554A976A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9F71E2-F047-42C1-B380-A7239FAC9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4067CE-1A82-4DC9-A70F-8A01EC763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2E47CA1-2698-4E19-85B0-049180DB6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832862</xdr:colOff>
      <xdr:row>37</xdr:row>
      <xdr:rowOff>44017</xdr:rowOff>
    </xdr:from>
    <xdr:to>
      <xdr:col>4</xdr:col>
      <xdr:colOff>206519</xdr:colOff>
      <xdr:row>42</xdr:row>
      <xdr:rowOff>193914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EF0A82-2804-45BA-9507-D61CBC487C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5195" y="8785850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42333</xdr:rowOff>
    </xdr:from>
    <xdr:to>
      <xdr:col>4</xdr:col>
      <xdr:colOff>1292225</xdr:colOff>
      <xdr:row>35</xdr:row>
      <xdr:rowOff>47816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8D868D-7DD6-4CBC-906C-22A61711BC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4401" y="7757583"/>
          <a:ext cx="1009649" cy="738908"/>
        </a:xfrm>
        <a:prstGeom prst="rect">
          <a:avLst/>
        </a:prstGeom>
      </xdr:spPr>
    </xdr:pic>
    <xdr:clientData/>
  </xdr:twoCellAnchor>
  <xdr:oneCellAnchor>
    <xdr:from>
      <xdr:col>11</xdr:col>
      <xdr:colOff>243417</xdr:colOff>
      <xdr:row>35</xdr:row>
      <xdr:rowOff>84666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CC434527-A5CD-4BB6-A2DF-C55F05E0A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53917" y="8466666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5292</xdr:colOff>
      <xdr:row>0</xdr:row>
      <xdr:rowOff>0</xdr:rowOff>
    </xdr:from>
    <xdr:to>
      <xdr:col>14</xdr:col>
      <xdr:colOff>70201</xdr:colOff>
      <xdr:row>5</xdr:row>
      <xdr:rowOff>137584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65C074E-E582-4099-A974-4F3F10704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06267" y="0"/>
          <a:ext cx="2846209" cy="242358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22A1E7B-8578-42FA-8827-5EBD243AE8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2349AEF-2A4F-42BA-9CAC-658C79006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589B9E-4691-4662-9132-E73F8F564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C056BC5-013B-4E82-9714-40BB8F5DF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854025</xdr:colOff>
      <xdr:row>37</xdr:row>
      <xdr:rowOff>65182</xdr:rowOff>
    </xdr:from>
    <xdr:to>
      <xdr:col>4</xdr:col>
      <xdr:colOff>227682</xdr:colOff>
      <xdr:row>43</xdr:row>
      <xdr:rowOff>13996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CEC0F2-AA28-4C83-8C32-65837F364A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6358" y="880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31</xdr:row>
      <xdr:rowOff>21167</xdr:rowOff>
    </xdr:from>
    <xdr:to>
      <xdr:col>4</xdr:col>
      <xdr:colOff>1308342</xdr:colOff>
      <xdr:row>35</xdr:row>
      <xdr:rowOff>84667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39EF475-C748-4A3B-9069-C83C233F29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4659" y="7672917"/>
          <a:ext cx="1089266" cy="79375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0CD03E-519F-450A-9A70-7E2E6F4CD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AA403FE-F48B-4F3F-BA1A-B7A75D48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243417</xdr:colOff>
      <xdr:row>35</xdr:row>
      <xdr:rowOff>84666</xdr:rowOff>
    </xdr:from>
    <xdr:ext cx="1606220" cy="1333500"/>
    <xdr:pic>
      <xdr:nvPicPr>
        <xdr:cNvPr id="18" name="Picture 17">
          <a:extLst>
            <a:ext uri="{FF2B5EF4-FFF2-40B4-BE49-F238E27FC236}">
              <a16:creationId xmlns:a16="http://schemas.microsoft.com/office/drawing/2014/main" id="{7DF89824-E159-43A4-8044-5E2E61026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4392" y="8533341"/>
          <a:ext cx="1606220" cy="1333500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82E118F-2A5B-4F6E-B778-5E2B567E21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18A2DA-E6A9-4FA9-841A-3C2F22F91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8D7FF24-F6C4-48DE-99BC-359B72586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757421-3D8D-4F78-A534-EA967330A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790525</xdr:colOff>
      <xdr:row>37</xdr:row>
      <xdr:rowOff>75765</xdr:rowOff>
    </xdr:from>
    <xdr:to>
      <xdr:col>4</xdr:col>
      <xdr:colOff>164182</xdr:colOff>
      <xdr:row>43</xdr:row>
      <xdr:rowOff>24579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4B3911-75F5-467C-B3ED-FA851C7086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2858" y="8817598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42333</xdr:rowOff>
    </xdr:from>
    <xdr:to>
      <xdr:col>4</xdr:col>
      <xdr:colOff>1292225</xdr:colOff>
      <xdr:row>35</xdr:row>
      <xdr:rowOff>47816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2B79CD-171B-45A3-94C7-0460D51D9A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8159" y="7694083"/>
          <a:ext cx="1009649" cy="735733"/>
        </a:xfrm>
        <a:prstGeom prst="rect">
          <a:avLst/>
        </a:prstGeom>
      </xdr:spPr>
    </xdr:pic>
    <xdr:clientData/>
  </xdr:twoCellAnchor>
  <xdr:oneCellAnchor>
    <xdr:from>
      <xdr:col>1</xdr:col>
      <xdr:colOff>889000</xdr:colOff>
      <xdr:row>26</xdr:row>
      <xdr:rowOff>190499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6A783938-9F20-436D-B822-99D7049E8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" y="7200899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5292</xdr:colOff>
      <xdr:row>0</xdr:row>
      <xdr:rowOff>0</xdr:rowOff>
    </xdr:from>
    <xdr:to>
      <xdr:col>14</xdr:col>
      <xdr:colOff>70201</xdr:colOff>
      <xdr:row>5</xdr:row>
      <xdr:rowOff>137584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B3F3A6E-884F-5830-5DBB-A2AB70D07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5792" y="0"/>
          <a:ext cx="2848326" cy="242358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296F645-29CE-4E0A-BD63-2AA4E1D64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8F2C11-3F7C-45E6-8900-F7A68D123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7BCB794-1150-4185-98F3-A41554D19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EB675A-3A77-4D9E-B862-032498E0B9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143015</xdr:colOff>
      <xdr:row>42</xdr:row>
      <xdr:rowOff>183329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A94C143-65EB-4E22-8ED7-F9A41AFB04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1" y="877526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31</xdr:row>
      <xdr:rowOff>31750</xdr:rowOff>
    </xdr:from>
    <xdr:to>
      <xdr:col>4</xdr:col>
      <xdr:colOff>1323974</xdr:colOff>
      <xdr:row>35</xdr:row>
      <xdr:rowOff>37233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FFA85DF-5B85-4BF8-A6A5-57A8812D5D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908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</xdr:col>
      <xdr:colOff>889000</xdr:colOff>
      <xdr:row>26</xdr:row>
      <xdr:rowOff>190499</xdr:rowOff>
    </xdr:from>
    <xdr:ext cx="1606220" cy="1333500"/>
    <xdr:pic>
      <xdr:nvPicPr>
        <xdr:cNvPr id="13" name="Picture 12">
          <a:extLst>
            <a:ext uri="{FF2B5EF4-FFF2-40B4-BE49-F238E27FC236}">
              <a16:creationId xmlns:a16="http://schemas.microsoft.com/office/drawing/2014/main" id="{6DDB4E9F-7CF6-4B9F-B026-90DB935E2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3" y="7133166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391583</xdr:colOff>
      <xdr:row>0</xdr:row>
      <xdr:rowOff>328084</xdr:rowOff>
    </xdr:from>
    <xdr:to>
      <xdr:col>14</xdr:col>
      <xdr:colOff>628012</xdr:colOff>
      <xdr:row>8</xdr:row>
      <xdr:rowOff>20443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C72C2F8-76C4-4F04-9901-CF8E9DBCA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02083" y="328084"/>
          <a:ext cx="3019846" cy="2391109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83BC5B4-4CC5-489C-8459-1C31C147A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90391A-BA57-4FB5-BF09-17124E89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24AB59-F54E-4316-9C81-3012E4C4B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324643</xdr:colOff>
      <xdr:row>31</xdr:row>
      <xdr:rowOff>43922</xdr:rowOff>
    </xdr:from>
    <xdr:to>
      <xdr:col>4</xdr:col>
      <xdr:colOff>1334292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EC59EEA-66F9-4969-A05A-9FF03836A5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6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3CE890-E4E5-4C74-9635-3796B6636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</xdr:col>
      <xdr:colOff>867835</xdr:colOff>
      <xdr:row>27</xdr:row>
      <xdr:rowOff>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C61E1BA-5D7A-46DF-9896-113168921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168" y="718608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2DB3DF-BE73-45BF-8572-32F25F5D8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74084</xdr:colOff>
      <xdr:row>0</xdr:row>
      <xdr:rowOff>42333</xdr:rowOff>
    </xdr:from>
    <xdr:to>
      <xdr:col>13</xdr:col>
      <xdr:colOff>852338</xdr:colOff>
      <xdr:row>10</xdr:row>
      <xdr:rowOff>157074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20C9BA-B544-D4D4-7559-039BC6210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41167" y="42333"/>
          <a:ext cx="2715004" cy="3162741"/>
        </a:xfrm>
        <a:prstGeom prst="rect">
          <a:avLst/>
        </a:prstGeom>
      </xdr:spPr>
    </xdr:pic>
    <xdr:clientData/>
  </xdr:twoCellAnchor>
  <xdr:twoCellAnchor editAs="oneCell">
    <xdr:from>
      <xdr:col>13</xdr:col>
      <xdr:colOff>973667</xdr:colOff>
      <xdr:row>0</xdr:row>
      <xdr:rowOff>254000</xdr:rowOff>
    </xdr:from>
    <xdr:to>
      <xdr:col>17</xdr:col>
      <xdr:colOff>543346</xdr:colOff>
      <xdr:row>6</xdr:row>
      <xdr:rowOff>115692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95FA0B-61BB-C432-A50F-C010CE2F1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477500" y="254000"/>
          <a:ext cx="3019846" cy="2391109"/>
        </a:xfrm>
        <a:prstGeom prst="rect">
          <a:avLst/>
        </a:prstGeom>
      </xdr:spPr>
    </xdr:pic>
    <xdr:clientData/>
  </xdr:twoCellAnchor>
  <xdr:twoCellAnchor editAs="oneCell">
    <xdr:from>
      <xdr:col>1</xdr:col>
      <xdr:colOff>811692</xdr:colOff>
      <xdr:row>37</xdr:row>
      <xdr:rowOff>55655</xdr:rowOff>
    </xdr:from>
    <xdr:to>
      <xdr:col>4</xdr:col>
      <xdr:colOff>186407</xdr:colOff>
      <xdr:row>43</xdr:row>
      <xdr:rowOff>9760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06F3B00-A202-4DA0-A023-3744C3151D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8797488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5070835-7F63-4802-BB85-71BD0E1F6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C6021-E07D-479A-9102-52A0848E3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E2A60B2-1357-45BC-92CF-9C0133C07C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684692</xdr:colOff>
      <xdr:row>30</xdr:row>
      <xdr:rowOff>55653</xdr:rowOff>
    </xdr:from>
    <xdr:to>
      <xdr:col>4</xdr:col>
      <xdr:colOff>164182</xdr:colOff>
      <xdr:row>36</xdr:row>
      <xdr:rowOff>62674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5E045C-B205-4485-975D-0DD0337C8F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27025" y="7527486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330199</xdr:colOff>
      <xdr:row>31</xdr:row>
      <xdr:rowOff>4236</xdr:rowOff>
    </xdr:from>
    <xdr:to>
      <xdr:col>4</xdr:col>
      <xdr:colOff>1339848</xdr:colOff>
      <xdr:row>35</xdr:row>
      <xdr:rowOff>10777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AF0604-2623-4DC2-9320-7B745BA010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9949" y="7655986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EAEE9C2-98F2-4CCA-B29E-1D61ADB20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E9166E-E782-4C09-96D4-D26F5A450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BC881C51-8C72-4366-AC9B-BF7399EC4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C40CC70-BD71-4EED-94C6-7AB0A906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30</xdr:row>
      <xdr:rowOff>76822</xdr:rowOff>
    </xdr:from>
    <xdr:to>
      <xdr:col>4</xdr:col>
      <xdr:colOff>143016</xdr:colOff>
      <xdr:row>36</xdr:row>
      <xdr:rowOff>83843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D26BEC-06B0-41A1-8E80-8D2336A4CA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7548655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340783</xdr:colOff>
      <xdr:row>31</xdr:row>
      <xdr:rowOff>110069</xdr:rowOff>
    </xdr:from>
    <xdr:to>
      <xdr:col>4</xdr:col>
      <xdr:colOff>1350432</xdr:colOff>
      <xdr:row>35</xdr:row>
      <xdr:rowOff>116610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032014-7F5D-42A3-AFC1-43CAEF2DE4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3" y="77618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61E002-38C7-48B4-85A9-EDE7EC0E9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F1C2A4-4F5E-4EBC-BB00-D76C97E02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891877AC-8289-4D54-9994-785A210E5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84667</xdr:colOff>
      <xdr:row>0</xdr:row>
      <xdr:rowOff>0</xdr:rowOff>
    </xdr:from>
    <xdr:to>
      <xdr:col>21</xdr:col>
      <xdr:colOff>187416</xdr:colOff>
      <xdr:row>22</xdr:row>
      <xdr:rowOff>232640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09C929C-B327-9FE6-DF16-8DEB6D8E3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45917" y="0"/>
          <a:ext cx="8230749" cy="620164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64405DA-38DA-4C87-BF93-646D881FA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30</xdr:row>
      <xdr:rowOff>76822</xdr:rowOff>
    </xdr:from>
    <xdr:to>
      <xdr:col>4</xdr:col>
      <xdr:colOff>143016</xdr:colOff>
      <xdr:row>36</xdr:row>
      <xdr:rowOff>83843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2C5413-A651-4F49-B63D-BA4DD64C23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7548655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340783</xdr:colOff>
      <xdr:row>31</xdr:row>
      <xdr:rowOff>110069</xdr:rowOff>
    </xdr:from>
    <xdr:to>
      <xdr:col>4</xdr:col>
      <xdr:colOff>1350432</xdr:colOff>
      <xdr:row>35</xdr:row>
      <xdr:rowOff>116610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7721EF3-D96D-4197-9756-01F8A3965A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3" y="77618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0E3391-F673-4300-88FF-E6A7EF77D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F5B6E4E-CB41-4F92-9843-F78A25DCA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650FA232-FE26-4BC3-B1B3-71DC894EB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36629D8-C52E-4BFE-BF69-76A4EE164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A24F32-8E76-449C-9BC7-7EB604E9F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42</xdr:row>
      <xdr:rowOff>174503</xdr:rowOff>
    </xdr:from>
    <xdr:to>
      <xdr:col>4</xdr:col>
      <xdr:colOff>204583</xdr:colOff>
      <xdr:row>48</xdr:row>
      <xdr:rowOff>158065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C6139A6-EA6C-4D2F-8A43-A13428E378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7602" y="98582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E83D5B-023C-4474-9045-1C3A8E843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44</xdr:row>
      <xdr:rowOff>107422</xdr:rowOff>
    </xdr:from>
    <xdr:to>
      <xdr:col>4</xdr:col>
      <xdr:colOff>1355458</xdr:colOff>
      <xdr:row>48</xdr:row>
      <xdr:rowOff>117138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BE15D1-234C-4127-9029-8D3B2F204A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2" y="101721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180D3BA-6761-491F-A888-212E12026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DE03ADAF-8880-4FAE-9D15-59711EEAE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966AB1F-EAFB-48FF-915F-DAB8309E6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79B370-46F0-44BF-B808-0A997FF2C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36</xdr:row>
      <xdr:rowOff>171013</xdr:rowOff>
    </xdr:from>
    <xdr:to>
      <xdr:col>4</xdr:col>
      <xdr:colOff>141958</xdr:colOff>
      <xdr:row>42</xdr:row>
      <xdr:rowOff>140994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4B47CA-BF1B-4FC0-80AF-E02B67A75A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8732930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240242</xdr:colOff>
      <xdr:row>30</xdr:row>
      <xdr:rowOff>158750</xdr:rowOff>
    </xdr:from>
    <xdr:to>
      <xdr:col>4</xdr:col>
      <xdr:colOff>1249891</xdr:colOff>
      <xdr:row>34</xdr:row>
      <xdr:rowOff>164233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B2F618E-2CD9-4248-92D1-BDAB85109D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9992" y="7630583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29</xdr:row>
      <xdr:rowOff>137584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EFFF07B9-90DC-4EBB-80F5-5D574CB9F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4667" y="7429501"/>
          <a:ext cx="1606220" cy="133350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FA40B85-87B8-4E86-92A0-F33CE000B1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3A61E4-D539-46CF-9477-90DC6F462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719438</xdr:colOff>
      <xdr:row>30</xdr:row>
      <xdr:rowOff>68670</xdr:rowOff>
    </xdr:from>
    <xdr:to>
      <xdr:col>4</xdr:col>
      <xdr:colOff>98752</xdr:colOff>
      <xdr:row>36</xdr:row>
      <xdr:rowOff>73398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6E4036-EBAA-4799-B492-82808AEB91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61771" y="754050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DAD588-8730-4278-9483-557F30209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250560</xdr:colOff>
      <xdr:row>31</xdr:row>
      <xdr:rowOff>65088</xdr:rowOff>
    </xdr:from>
    <xdr:to>
      <xdr:col>4</xdr:col>
      <xdr:colOff>1260209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F75DAB-17E7-4BF9-BCA6-1EBF24EC2D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3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48BC23-2ED7-47EF-BABC-559FADA87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EDACB8E-D3B4-4DC6-8398-DCA764D79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59F2A10-E7D4-4820-9F79-1505E08BB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705859</xdr:colOff>
      <xdr:row>37</xdr:row>
      <xdr:rowOff>66239</xdr:rowOff>
    </xdr:from>
    <xdr:to>
      <xdr:col>4</xdr:col>
      <xdr:colOff>185349</xdr:colOff>
      <xdr:row>43</xdr:row>
      <xdr:rowOff>20344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70CC16-1B00-49C2-AF13-B5707BD365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8192" y="8808072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08E732-B3D4-4B60-A800-6B6FA10252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6983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334235-6319-4F6C-8064-614D2567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BCF710-5B70-459E-9184-D84E8423B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08911683-D348-41B4-A70C-84BADB60C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232833</xdr:colOff>
      <xdr:row>0</xdr:row>
      <xdr:rowOff>0</xdr:rowOff>
    </xdr:from>
    <xdr:to>
      <xdr:col>14</xdr:col>
      <xdr:colOff>821684</xdr:colOff>
      <xdr:row>17</xdr:row>
      <xdr:rowOff>193239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2A3D51E-415A-4513-8C65-9BB5F4B5A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94083" y="0"/>
          <a:ext cx="3901434" cy="4945156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27E8780-8667-4A12-B0B7-A40E7C42E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754011</xdr:colOff>
      <xdr:row>37</xdr:row>
      <xdr:rowOff>58042</xdr:rowOff>
    </xdr:from>
    <xdr:to>
      <xdr:col>4</xdr:col>
      <xdr:colOff>233501</xdr:colOff>
      <xdr:row>43</xdr:row>
      <xdr:rowOff>12147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F560F0-1E6C-41E9-88D0-C3247989D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9730" y="8880573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302420</xdr:colOff>
      <xdr:row>31</xdr:row>
      <xdr:rowOff>28573</xdr:rowOff>
    </xdr:from>
    <xdr:to>
      <xdr:col>4</xdr:col>
      <xdr:colOff>1312069</xdr:colOff>
      <xdr:row>35</xdr:row>
      <xdr:rowOff>36815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571B91-7F5A-4BDE-B47B-3EC59C612C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67636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7044601C-D4B9-4A7D-84B1-9612EA304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119062</xdr:colOff>
      <xdr:row>1</xdr:row>
      <xdr:rowOff>166688</xdr:rowOff>
    </xdr:from>
    <xdr:to>
      <xdr:col>17</xdr:col>
      <xdr:colOff>286441</xdr:colOff>
      <xdr:row>21</xdr:row>
      <xdr:rowOff>651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1CE146-35E2-40EC-86DD-7B7F99DC6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5262" y="1119188"/>
          <a:ext cx="4948929" cy="4653613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5CEB2A8-BB15-451C-9707-A8A7C5793E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611136</xdr:colOff>
      <xdr:row>30</xdr:row>
      <xdr:rowOff>46133</xdr:rowOff>
    </xdr:from>
    <xdr:to>
      <xdr:col>4</xdr:col>
      <xdr:colOff>90626</xdr:colOff>
      <xdr:row>36</xdr:row>
      <xdr:rowOff>59769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78B049-171B-40F4-9672-5CFA64973C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6855" y="7606602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338140</xdr:colOff>
      <xdr:row>31</xdr:row>
      <xdr:rowOff>28575</xdr:rowOff>
    </xdr:from>
    <xdr:to>
      <xdr:col>4</xdr:col>
      <xdr:colOff>1347789</xdr:colOff>
      <xdr:row>35</xdr:row>
      <xdr:rowOff>36817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C832727-AECF-4B63-9835-12ECBA2A2E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8046" y="7767638"/>
          <a:ext cx="1009649" cy="734523"/>
        </a:xfrm>
        <a:prstGeom prst="rect">
          <a:avLst/>
        </a:prstGeom>
      </xdr:spPr>
    </xdr:pic>
    <xdr:clientData/>
  </xdr:twoCellAnchor>
  <xdr:oneCellAnchor>
    <xdr:from>
      <xdr:col>12</xdr:col>
      <xdr:colOff>119061</xdr:colOff>
      <xdr:row>26</xdr:row>
      <xdr:rowOff>119062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8E480A2C-5DC1-4193-BB63-EEFCC7506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8686" y="7155656"/>
          <a:ext cx="1583531" cy="1314664"/>
        </a:xfrm>
        <a:prstGeom prst="rect">
          <a:avLst/>
        </a:prstGeom>
      </xdr:spPr>
    </xdr:pic>
    <xdr:clientData/>
  </xdr:one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1AB38AA-CFEA-47A8-8BBF-A27B1A21D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727023</xdr:colOff>
      <xdr:row>36</xdr:row>
      <xdr:rowOff>171012</xdr:rowOff>
    </xdr:from>
    <xdr:to>
      <xdr:col>4</xdr:col>
      <xdr:colOff>205455</xdr:colOff>
      <xdr:row>42</xdr:row>
      <xdr:rowOff>140993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CACF470-0EB5-4D5F-96C4-6866E2F77A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69356" y="8732929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293157</xdr:colOff>
      <xdr:row>30</xdr:row>
      <xdr:rowOff>148169</xdr:rowOff>
    </xdr:from>
    <xdr:to>
      <xdr:col>4</xdr:col>
      <xdr:colOff>1302806</xdr:colOff>
      <xdr:row>34</xdr:row>
      <xdr:rowOff>153652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FBA07B-A29C-40B5-870A-B0F9DC7553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2907" y="7620002"/>
          <a:ext cx="1009649" cy="735733"/>
        </a:xfrm>
        <a:prstGeom prst="rect">
          <a:avLst/>
        </a:prstGeom>
      </xdr:spPr>
    </xdr:pic>
    <xdr:clientData/>
  </xdr:twoCellAnchor>
  <xdr:oneCellAnchor>
    <xdr:from>
      <xdr:col>14</xdr:col>
      <xdr:colOff>910167</xdr:colOff>
      <xdr:row>43</xdr:row>
      <xdr:rowOff>105834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15F72D3F-FC89-40A9-9C13-5496DAE42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0" y="9990667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116418</xdr:colOff>
      <xdr:row>0</xdr:row>
      <xdr:rowOff>0</xdr:rowOff>
    </xdr:from>
    <xdr:to>
      <xdr:col>17</xdr:col>
      <xdr:colOff>266333</xdr:colOff>
      <xdr:row>9</xdr:row>
      <xdr:rowOff>22649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B167A8-9774-92A1-85E3-3020EC277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21085" y="0"/>
          <a:ext cx="4944165" cy="3038899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08614F6-D633-41F6-A349-E97672D778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471DCC-0DCF-46C1-BE25-7A2894C13E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8653" y="10602235"/>
          <a:ext cx="2569275" cy="1103455"/>
        </a:xfrm>
        <a:prstGeom prst="rect">
          <a:avLst/>
        </a:prstGeom>
      </xdr:spPr>
    </xdr:pic>
    <xdr:clientData/>
  </xdr:twoCellAnchor>
  <xdr:twoCellAnchor editAs="oneCell">
    <xdr:from>
      <xdr:col>4</xdr:col>
      <xdr:colOff>287867</xdr:colOff>
      <xdr:row>31</xdr:row>
      <xdr:rowOff>46571</xdr:rowOff>
    </xdr:from>
    <xdr:to>
      <xdr:col>4</xdr:col>
      <xdr:colOff>1297516</xdr:colOff>
      <xdr:row>35</xdr:row>
      <xdr:rowOff>42529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4DBC83-65A8-4B6D-8260-FBFE67F56D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7617" y="7761821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165947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8AD41A-3DDB-4A77-B661-046910DE3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165947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2FF9A8F-E809-49EA-A2ED-196F491F5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34E39600-6665-4FB7-9AAB-102EFE087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06540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800638</xdr:colOff>
      <xdr:row>37</xdr:row>
      <xdr:rowOff>48865</xdr:rowOff>
    </xdr:from>
    <xdr:to>
      <xdr:col>4</xdr:col>
      <xdr:colOff>127742</xdr:colOff>
      <xdr:row>42</xdr:row>
      <xdr:rowOff>74888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41EBD7-12BC-4862-902F-1503F4EB30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2971" y="8864782"/>
          <a:ext cx="2364521" cy="967939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254000</xdr:colOff>
      <xdr:row>0</xdr:row>
      <xdr:rowOff>21167</xdr:rowOff>
    </xdr:from>
    <xdr:to>
      <xdr:col>20</xdr:col>
      <xdr:colOff>74242</xdr:colOff>
      <xdr:row>14</xdr:row>
      <xdr:rowOff>127000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63DB7FD-0273-4595-8E42-C836B2B77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23917" y="21167"/>
          <a:ext cx="5725742" cy="412750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393700</xdr:colOff>
      <xdr:row>35</xdr:row>
      <xdr:rowOff>175472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66AF70-003B-44AA-A48E-2269ACCAE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393700</xdr:colOff>
      <xdr:row>35</xdr:row>
      <xdr:rowOff>175472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611AAED-20B3-4CC5-8C7B-C29355496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13</xdr:col>
      <xdr:colOff>338668</xdr:colOff>
      <xdr:row>16</xdr:row>
      <xdr:rowOff>201084</xdr:rowOff>
    </xdr:from>
    <xdr:to>
      <xdr:col>18</xdr:col>
      <xdr:colOff>8989</xdr:colOff>
      <xdr:row>23</xdr:row>
      <xdr:rowOff>30906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D4F8414-CACC-E27E-6FD7-37B4DE8C7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022418" y="4709584"/>
          <a:ext cx="3734321" cy="1533739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7EFA69A-C5EA-426D-A002-CD31AF86B3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0294F9-FA12-4BFB-BB14-88576F670D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8653" y="10602235"/>
          <a:ext cx="2569275" cy="1103455"/>
        </a:xfrm>
        <a:prstGeom prst="rect">
          <a:avLst/>
        </a:prstGeom>
      </xdr:spPr>
    </xdr:pic>
    <xdr:clientData/>
  </xdr:twoCellAnchor>
  <xdr:twoCellAnchor editAs="oneCell">
    <xdr:from>
      <xdr:col>4</xdr:col>
      <xdr:colOff>277283</xdr:colOff>
      <xdr:row>31</xdr:row>
      <xdr:rowOff>14820</xdr:rowOff>
    </xdr:from>
    <xdr:to>
      <xdr:col>4</xdr:col>
      <xdr:colOff>1286932</xdr:colOff>
      <xdr:row>35</xdr:row>
      <xdr:rowOff>21361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DB03E9-6575-47E0-A990-A588436B30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7033" y="7666570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F4C6B0-7694-404B-BE0D-F03A8AC6F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E5E771-65CF-4E14-AAF1-4BCE74559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41A09A80-E0A1-43BA-B65F-09B926F24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06540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698027</xdr:colOff>
      <xdr:row>30</xdr:row>
      <xdr:rowOff>50859</xdr:rowOff>
    </xdr:from>
    <xdr:to>
      <xdr:col>4</xdr:col>
      <xdr:colOff>307234</xdr:colOff>
      <xdr:row>36</xdr:row>
      <xdr:rowOff>44195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964BDD-B347-4C30-80F2-B74F187B00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0360" y="7522692"/>
          <a:ext cx="2646624" cy="1083420"/>
        </a:xfrm>
        <a:prstGeom prst="rect">
          <a:avLst/>
        </a:prstGeom>
      </xdr:spPr>
    </xdr:pic>
    <xdr:clientData/>
  </xdr:twoCellAnchor>
  <xdr:twoCellAnchor editAs="oneCell">
    <xdr:from>
      <xdr:col>10</xdr:col>
      <xdr:colOff>169333</xdr:colOff>
      <xdr:row>0</xdr:row>
      <xdr:rowOff>10584</xdr:rowOff>
    </xdr:from>
    <xdr:to>
      <xdr:col>14</xdr:col>
      <xdr:colOff>181439</xdr:colOff>
      <xdr:row>15</xdr:row>
      <xdr:rowOff>22823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71873FE-C20E-4A3B-8987-A2629592A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0583" y="10584"/>
          <a:ext cx="3324689" cy="4277322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34958A1-6831-486B-8282-ACA8802765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219A949-A00F-4B17-9780-8263A639CE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2886" y="10531327"/>
          <a:ext cx="2577742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277283</xdr:colOff>
      <xdr:row>31</xdr:row>
      <xdr:rowOff>14820</xdr:rowOff>
    </xdr:from>
    <xdr:to>
      <xdr:col>4</xdr:col>
      <xdr:colOff>1286932</xdr:colOff>
      <xdr:row>35</xdr:row>
      <xdr:rowOff>21361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6C7D1C-D914-418D-B239-C9F26AB961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7033" y="7666570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1A9E036-00C6-4185-A6D9-237C14D2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5EC39-1B4A-4406-A554-C5A7AC8B0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49C04C08-EBF8-4A39-B33A-07CDA65B0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06540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698027</xdr:colOff>
      <xdr:row>30</xdr:row>
      <xdr:rowOff>50859</xdr:rowOff>
    </xdr:from>
    <xdr:to>
      <xdr:col>4</xdr:col>
      <xdr:colOff>307234</xdr:colOff>
      <xdr:row>36</xdr:row>
      <xdr:rowOff>44195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4AB14F4-CFCE-4E48-AE3A-95314CC9A8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0360" y="7522692"/>
          <a:ext cx="2646624" cy="108342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255523</xdr:colOff>
      <xdr:row>19</xdr:row>
      <xdr:rowOff>181572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753498-3892-34B5-0F6E-EB4683D47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04667" y="1143000"/>
          <a:ext cx="3324689" cy="4277322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F4FA001-9FA5-4F3F-AC37-E8537AE5AB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578859</xdr:colOff>
      <xdr:row>30</xdr:row>
      <xdr:rowOff>76821</xdr:rowOff>
    </xdr:from>
    <xdr:to>
      <xdr:col>4</xdr:col>
      <xdr:colOff>58349</xdr:colOff>
      <xdr:row>36</xdr:row>
      <xdr:rowOff>83842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4D480D-771B-4410-A698-0EBCF0BCBB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1192" y="754865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4ADB8D-82D0-4D5F-BDD0-D17F4F5A9D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6983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7259622-3326-432C-86F8-4D6389993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D85045-D0D4-48C1-8A8F-9B7B5A205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87A81B32-F015-4C88-91AE-3E7F64C0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560918</xdr:colOff>
      <xdr:row>46</xdr:row>
      <xdr:rowOff>148167</xdr:rowOff>
    </xdr:from>
    <xdr:to>
      <xdr:col>4</xdr:col>
      <xdr:colOff>40408</xdr:colOff>
      <xdr:row>52</xdr:row>
      <xdr:rowOff>165772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45C43B9-FD44-4019-815E-A6437F5E10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03251" y="1058333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10</xdr:col>
      <xdr:colOff>158750</xdr:colOff>
      <xdr:row>0</xdr:row>
      <xdr:rowOff>719666</xdr:rowOff>
    </xdr:from>
    <xdr:to>
      <xdr:col>14</xdr:col>
      <xdr:colOff>170856</xdr:colOff>
      <xdr:row>18</xdr:row>
      <xdr:rowOff>1655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4664F52-E32C-FA4A-2703-74592E30B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0" y="719666"/>
          <a:ext cx="3324689" cy="4277322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685D3AC-725E-49BB-8875-8D553F99D3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17886</xdr:colOff>
      <xdr:row>31</xdr:row>
      <xdr:rowOff>11493</xdr:rowOff>
    </xdr:from>
    <xdr:to>
      <xdr:col>4</xdr:col>
      <xdr:colOff>362545</xdr:colOff>
      <xdr:row>37</xdr:row>
      <xdr:rowOff>18515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916B3C-6984-426B-97E2-F7504FB66C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4553" y="7663243"/>
          <a:ext cx="2577742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CC349F-EB04-4854-ABED-C882DE76F2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3F2C4DE-3E44-44F7-970E-43D4DF033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806772-1C9B-4671-86CE-5C54E4D56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87D52473-1795-4151-9E40-5076DB9DC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48" y="9937748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211667</xdr:colOff>
      <xdr:row>3</xdr:row>
      <xdr:rowOff>254000</xdr:rowOff>
    </xdr:from>
    <xdr:to>
      <xdr:col>14</xdr:col>
      <xdr:colOff>271405</xdr:colOff>
      <xdr:row>13</xdr:row>
      <xdr:rowOff>171753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83CB824-ED37-407D-B1CB-D8FB29DC4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60217" y="1778000"/>
          <a:ext cx="3364913" cy="2184703"/>
        </a:xfrm>
        <a:prstGeom prst="rect">
          <a:avLst/>
        </a:prstGeom>
      </xdr:spPr>
    </xdr:pic>
    <xdr:clientData/>
  </xdr:twoCellAnchor>
  <xdr:twoCellAnchor editAs="oneCell">
    <xdr:from>
      <xdr:col>1</xdr:col>
      <xdr:colOff>730158</xdr:colOff>
      <xdr:row>37</xdr:row>
      <xdr:rowOff>39256</xdr:rowOff>
    </xdr:from>
    <xdr:to>
      <xdr:col>4</xdr:col>
      <xdr:colOff>372795</xdr:colOff>
      <xdr:row>42</xdr:row>
      <xdr:rowOff>194444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F7ADD24-A61C-4F0E-9E6A-5ED66DE13A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2491" y="8781089"/>
          <a:ext cx="2680054" cy="109710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6D358A1-4E23-4112-9740-A7928C15FF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737608</xdr:colOff>
      <xdr:row>30</xdr:row>
      <xdr:rowOff>161488</xdr:rowOff>
    </xdr:from>
    <xdr:to>
      <xdr:col>4</xdr:col>
      <xdr:colOff>217098</xdr:colOff>
      <xdr:row>36</xdr:row>
      <xdr:rowOff>168509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6911DE-88F0-40BD-B47C-42A0E3F90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9941" y="7633321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0F63CA-15ED-4938-A8A2-478261D4AC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173918-8028-46C2-8F5C-CD72F9FF1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FCA53B-5599-4234-BE0C-848B6F9EE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2ED1333-BB9D-4765-A3A6-A318BCF4E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211667</xdr:colOff>
      <xdr:row>3</xdr:row>
      <xdr:rowOff>254000</xdr:rowOff>
    </xdr:from>
    <xdr:to>
      <xdr:col>14</xdr:col>
      <xdr:colOff>271405</xdr:colOff>
      <xdr:row>13</xdr:row>
      <xdr:rowOff>171753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5043B01-49D2-9846-34CA-9D2C2C6EF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72917" y="1778000"/>
          <a:ext cx="3372321" cy="2172003"/>
        </a:xfrm>
        <a:prstGeom prst="rect">
          <a:avLst/>
        </a:prstGeom>
      </xdr:spPr>
    </xdr:pic>
    <xdr:clientData/>
  </xdr:twoCellAnchor>
  <xdr:twoCellAnchor editAs="oneCell">
    <xdr:from>
      <xdr:col>1</xdr:col>
      <xdr:colOff>730251</xdr:colOff>
      <xdr:row>37</xdr:row>
      <xdr:rowOff>10584</xdr:rowOff>
    </xdr:from>
    <xdr:to>
      <xdr:col>4</xdr:col>
      <xdr:colOff>209741</xdr:colOff>
      <xdr:row>42</xdr:row>
      <xdr:rowOff>165772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80974A-CC12-40D4-9923-D5F68BD017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2584" y="8752417"/>
          <a:ext cx="2516907" cy="109710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8F930D8-C8C7-481B-876D-B6DC71FBC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610609</xdr:colOff>
      <xdr:row>37</xdr:row>
      <xdr:rowOff>45071</xdr:rowOff>
    </xdr:from>
    <xdr:to>
      <xdr:col>4</xdr:col>
      <xdr:colOff>90099</xdr:colOff>
      <xdr:row>43</xdr:row>
      <xdr:rowOff>234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82A9EA-3230-467D-AA48-C52C711CC6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2942" y="8786904"/>
          <a:ext cx="2516907" cy="1098163"/>
        </a:xfrm>
        <a:prstGeom prst="rect">
          <a:avLst/>
        </a:prstGeom>
      </xdr:spPr>
    </xdr:pic>
    <xdr:clientData/>
  </xdr:twoCellAnchor>
  <xdr:twoCellAnchor editAs="oneCell">
    <xdr:from>
      <xdr:col>4</xdr:col>
      <xdr:colOff>213784</xdr:colOff>
      <xdr:row>31</xdr:row>
      <xdr:rowOff>57152</xdr:rowOff>
    </xdr:from>
    <xdr:to>
      <xdr:col>4</xdr:col>
      <xdr:colOff>1223433</xdr:colOff>
      <xdr:row>35</xdr:row>
      <xdr:rowOff>63693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075878-96D1-406F-ABA6-A967F53666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3534" y="7708902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A11D242-F505-4913-A0AD-A2783C960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1970A9F-346B-4B49-B170-4D6EA8970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52917</xdr:colOff>
      <xdr:row>0</xdr:row>
      <xdr:rowOff>677333</xdr:rowOff>
    </xdr:from>
    <xdr:to>
      <xdr:col>15</xdr:col>
      <xdr:colOff>184621</xdr:colOff>
      <xdr:row>11</xdr:row>
      <xdr:rowOff>31749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3C001E-C387-193A-1CEA-388B40EBC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57584" y="677333"/>
          <a:ext cx="4174537" cy="2645833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3F1FD67-8288-4E53-A4A7-637DB07EF7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8A8BB9-74A6-4A0C-961E-5EAFAFFAA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13</xdr:col>
      <xdr:colOff>931103</xdr:colOff>
      <xdr:row>43</xdr:row>
      <xdr:rowOff>153339</xdr:rowOff>
    </xdr:from>
    <xdr:to>
      <xdr:col>17</xdr:col>
      <xdr:colOff>3500</xdr:colOff>
      <xdr:row>50</xdr:row>
      <xdr:rowOff>169710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5F12D0-D876-4382-B182-647F1989F9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10434936" y="6916089"/>
          <a:ext cx="2522564" cy="1095871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9F0609D-1F5E-4D14-B8CB-0F543FBFB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48</xdr:row>
      <xdr:rowOff>1589</xdr:rowOff>
    </xdr:from>
    <xdr:to>
      <xdr:col>4</xdr:col>
      <xdr:colOff>1334290</xdr:colOff>
      <xdr:row>52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0434F4-8F37-412E-A4F0-421FB9A82D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75263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1EEB11-2A00-4CCC-9886-291F3203A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52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9F91496-7C13-44AD-AA22-D491DF65B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167006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879DB9-EF05-48DE-9CDC-5AC4D1DD1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167006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4175C8E-58C7-411E-B50F-123CDEC84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</xdr:col>
      <xdr:colOff>854025</xdr:colOff>
      <xdr:row>54</xdr:row>
      <xdr:rowOff>65183</xdr:rowOff>
    </xdr:from>
    <xdr:to>
      <xdr:col>4</xdr:col>
      <xdr:colOff>227682</xdr:colOff>
      <xdr:row>60</xdr:row>
      <xdr:rowOff>13997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A00F8E-F820-413A-8E0B-40FAA58491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6358" y="13008600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56</xdr:row>
      <xdr:rowOff>105834</xdr:rowOff>
    </xdr:from>
    <xdr:to>
      <xdr:col>12</xdr:col>
      <xdr:colOff>710141</xdr:colOff>
      <xdr:row>60</xdr:row>
      <xdr:rowOff>48875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550141B-98DE-4351-B412-8A2CFF2A1F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  <xdr:oneCellAnchor>
    <xdr:from>
      <xdr:col>12</xdr:col>
      <xdr:colOff>560917</xdr:colOff>
      <xdr:row>22</xdr:row>
      <xdr:rowOff>74084</xdr:rowOff>
    </xdr:from>
    <xdr:ext cx="1606220" cy="1333500"/>
    <xdr:pic>
      <xdr:nvPicPr>
        <xdr:cNvPr id="13" name="Picture 12">
          <a:extLst>
            <a:ext uri="{FF2B5EF4-FFF2-40B4-BE49-F238E27FC236}">
              <a16:creationId xmlns:a16="http://schemas.microsoft.com/office/drawing/2014/main" id="{50F9953F-0C91-43D4-96B2-EE7D1077E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3917" y="5799667"/>
          <a:ext cx="1606220" cy="1333500"/>
        </a:xfrm>
        <a:prstGeom prst="rect">
          <a:avLst/>
        </a:prstGeom>
      </xdr:spPr>
    </xdr:pic>
    <xdr:clientData/>
  </xdr:one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27CEFAA-BF27-4704-AB9C-CB22D69503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07D3B12-85E5-4033-94C5-7D52BF4CF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846436</xdr:colOff>
      <xdr:row>36</xdr:row>
      <xdr:rowOff>89838</xdr:rowOff>
    </xdr:from>
    <xdr:to>
      <xdr:col>4</xdr:col>
      <xdr:colOff>225750</xdr:colOff>
      <xdr:row>42</xdr:row>
      <xdr:rowOff>42709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FA3F62-E83B-4551-A736-CDD4A5C130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69" y="8651755"/>
          <a:ext cx="2522564" cy="1095871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71F774-AD3B-4885-81C7-C8EC449B7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30</xdr:row>
      <xdr:rowOff>1589</xdr:rowOff>
    </xdr:from>
    <xdr:to>
      <xdr:col>4</xdr:col>
      <xdr:colOff>1334290</xdr:colOff>
      <xdr:row>34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86D38F-40A1-48DB-B847-73807EAF8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75263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524D1B6-5B76-4C8C-8585-C8CF2D6ED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0DE8D0A-692B-43E5-8793-C2C00D48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4433866-5034-4CBE-9858-2E72D8D0B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38EAF30-F8EF-4F14-A6F0-AEF9197E0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A72785E-FCDC-490B-ADC4-19FC62A616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8376274"/>
          <a:ext cx="2514790" cy="1093930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2F144E6-EE18-4998-B20B-140167EE51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25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4FC9BC9B-F5C5-4723-97F3-CF9A464B2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17" y="7031567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158751</xdr:colOff>
      <xdr:row>0</xdr:row>
      <xdr:rowOff>497416</xdr:rowOff>
    </xdr:from>
    <xdr:to>
      <xdr:col>13</xdr:col>
      <xdr:colOff>908426</xdr:colOff>
      <xdr:row>8</xdr:row>
      <xdr:rowOff>94511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C52C579-6900-F769-D072-FE6DC5F19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725834" y="497416"/>
          <a:ext cx="2686425" cy="229584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4C4E1F7-172F-47F0-B3A8-C6BEA6A6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738027</xdr:colOff>
      <xdr:row>34</xdr:row>
      <xdr:rowOff>140815</xdr:rowOff>
    </xdr:from>
    <xdr:to>
      <xdr:col>4</xdr:col>
      <xdr:colOff>477737</xdr:colOff>
      <xdr:row>41</xdr:row>
      <xdr:rowOff>88197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54476B-EF6A-4E68-81AC-F27B7D0925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6127" y="8494240"/>
          <a:ext cx="2768660" cy="1261832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5764FE0-A590-4194-A87B-4D96D24AD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21981493-E3AA-41C3-8231-5243AC57B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C2F0B40-797D-40DC-9D3D-4D45E7E30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BE3D81-A750-46B6-B1BC-C75DDCD687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222A8A5-99E5-44A0-86AE-1619D86DBD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384434-4826-468E-9660-B48A0E5DB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273842</xdr:colOff>
      <xdr:row>1</xdr:row>
      <xdr:rowOff>0</xdr:rowOff>
    </xdr:from>
    <xdr:to>
      <xdr:col>14</xdr:col>
      <xdr:colOff>202405</xdr:colOff>
      <xdr:row>6</xdr:row>
      <xdr:rowOff>119063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969DB4A-3152-41A2-C6FA-753669BCC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15248" y="952500"/>
          <a:ext cx="3333751" cy="1702594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6C957B3-7C8C-45AA-B4E8-736967D889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A16D13-0FEB-45F1-AAF4-444E8FA2D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804102</xdr:colOff>
      <xdr:row>37</xdr:row>
      <xdr:rowOff>58087</xdr:rowOff>
    </xdr:from>
    <xdr:to>
      <xdr:col>4</xdr:col>
      <xdr:colOff>183416</xdr:colOff>
      <xdr:row>43</xdr:row>
      <xdr:rowOff>52232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3F3E44-F0AD-466E-BAB5-65391A19A1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6435" y="9297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3553EF-A01E-457A-8FCA-50ADB0994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38</xdr:row>
      <xdr:rowOff>86255</xdr:rowOff>
    </xdr:from>
    <xdr:to>
      <xdr:col>4</xdr:col>
      <xdr:colOff>1344874</xdr:colOff>
      <xdr:row>42</xdr:row>
      <xdr:rowOff>85388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5312D8-AEF9-4886-8496-6B95641098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08" y="95054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3D1AA1-CE2E-455B-898E-32E28721F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7C31627-A570-44A1-8646-E4EE4DE99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418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719580</xdr:colOff>
      <xdr:row>45</xdr:row>
      <xdr:rowOff>145302</xdr:rowOff>
    </xdr:from>
    <xdr:to>
      <xdr:col>16</xdr:col>
      <xdr:colOff>501069</xdr:colOff>
      <xdr:row>51</xdr:row>
      <xdr:rowOff>97114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53D9001-E22E-4A67-BFCB-47B1ACFC23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10223413" y="10845052"/>
          <a:ext cx="2617823" cy="1094812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2E2F323-AF97-4F96-BB95-33F733CA4A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738027</xdr:colOff>
      <xdr:row>34</xdr:row>
      <xdr:rowOff>140815</xdr:rowOff>
    </xdr:from>
    <xdr:to>
      <xdr:col>4</xdr:col>
      <xdr:colOff>477737</xdr:colOff>
      <xdr:row>41</xdr:row>
      <xdr:rowOff>88197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9D1641-E630-4A53-8C99-E670FBAE3E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3746" y="8510909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36E15EA-18B5-48C9-843F-1E9CAEE4C3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FF766BC2-3276-49AE-9EB3-358A1B61E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24F89E-EB91-459E-A243-2D7BFF0CB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1E698C-67AB-436E-83ED-2D5CAE63D7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6F27C7-DB53-4B74-A4DC-AEEA17C143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ADA8F7D-00D9-4EAB-B987-EA2D186EA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357188</xdr:colOff>
      <xdr:row>0</xdr:row>
      <xdr:rowOff>666750</xdr:rowOff>
    </xdr:from>
    <xdr:to>
      <xdr:col>13</xdr:col>
      <xdr:colOff>979105</xdr:colOff>
      <xdr:row>3</xdr:row>
      <xdr:rowOff>304962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51059A-B40D-AE4A-048B-9A4052144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98594" y="666750"/>
          <a:ext cx="2943636" cy="1162212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C82C334-4BFD-4B60-9D48-A6C4DB91B7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F54E5-38AD-4156-9D97-E8213748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856704</xdr:colOff>
      <xdr:row>30</xdr:row>
      <xdr:rowOff>121738</xdr:rowOff>
    </xdr:from>
    <xdr:to>
      <xdr:col>4</xdr:col>
      <xdr:colOff>582813</xdr:colOff>
      <xdr:row>36</xdr:row>
      <xdr:rowOff>126466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DDD86E-7CF0-463B-9666-81A64E5AC3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037" y="7593571"/>
          <a:ext cx="2869359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D048C3-1D41-4C54-A0CC-4FDA5BAAC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303474</xdr:colOff>
      <xdr:row>31</xdr:row>
      <xdr:rowOff>96838</xdr:rowOff>
    </xdr:from>
    <xdr:to>
      <xdr:col>4</xdr:col>
      <xdr:colOff>1313123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C6BCED-91B7-41B3-9826-7F2F304E34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89057" y="774858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EACB29-F788-4DEF-9415-822A1C0AC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169333</xdr:colOff>
      <xdr:row>36</xdr:row>
      <xdr:rowOff>137584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873491CE-AA98-4801-936F-81D54AF9E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9833" y="86995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476250</xdr:colOff>
      <xdr:row>36</xdr:row>
      <xdr:rowOff>31750</xdr:rowOff>
    </xdr:from>
    <xdr:to>
      <xdr:col>14</xdr:col>
      <xdr:colOff>871108</xdr:colOff>
      <xdr:row>40</xdr:row>
      <xdr:rowOff>137600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FAF4E2E-F8E8-4980-B3C7-2D294EE1C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0083" y="8593667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836084</xdr:colOff>
      <xdr:row>37</xdr:row>
      <xdr:rowOff>31751</xdr:rowOff>
    </xdr:from>
    <xdr:to>
      <xdr:col>4</xdr:col>
      <xdr:colOff>562193</xdr:colOff>
      <xdr:row>42</xdr:row>
      <xdr:rowOff>184646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DD1147D-6153-46E4-8836-A333424561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417" y="8773584"/>
          <a:ext cx="2869359" cy="1094812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E139171-3FE5-49F3-86CD-B4EAD7B9F7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716441</xdr:colOff>
      <xdr:row>37</xdr:row>
      <xdr:rowOff>97991</xdr:rowOff>
    </xdr:from>
    <xdr:to>
      <xdr:col>4</xdr:col>
      <xdr:colOff>195931</xdr:colOff>
      <xdr:row>43</xdr:row>
      <xdr:rowOff>52096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13ECA0-6B9A-4B64-9FFB-5028DFFEEC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8774" y="883982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E7AF29-EC13-4338-85B3-C3BE51A16E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895764-F37F-4B95-B759-174496D60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72C3BA-36CA-4A6A-9522-B065536BB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68C84444-6BC7-48CA-9F37-F8505609A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137584</xdr:colOff>
      <xdr:row>0</xdr:row>
      <xdr:rowOff>42334</xdr:rowOff>
    </xdr:from>
    <xdr:to>
      <xdr:col>13</xdr:col>
      <xdr:colOff>906351</xdr:colOff>
      <xdr:row>15</xdr:row>
      <xdr:rowOff>140310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C4DF22-5BDD-B802-991E-6D4CF672A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98834" y="42334"/>
          <a:ext cx="2991267" cy="4363059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477667E-2057-4F43-AB33-D018B3E3B6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748193</xdr:colOff>
      <xdr:row>37</xdr:row>
      <xdr:rowOff>76823</xdr:rowOff>
    </xdr:from>
    <xdr:to>
      <xdr:col>4</xdr:col>
      <xdr:colOff>227683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28D99B-10A8-47A8-8700-877E310D2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6293" y="8887448"/>
          <a:ext cx="2508440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CF8A1A1-E81B-4442-8019-7B4E466F4D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34F3CB-D454-4485-8E78-AD9BEA33F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B6C851-9676-4C6E-8BC8-F70D864E7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772583</xdr:colOff>
      <xdr:row>27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97F724AB-EB71-470A-9F9A-762400B47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916" y="719666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148167</xdr:colOff>
      <xdr:row>0</xdr:row>
      <xdr:rowOff>328084</xdr:rowOff>
    </xdr:from>
    <xdr:to>
      <xdr:col>13</xdr:col>
      <xdr:colOff>59565</xdr:colOff>
      <xdr:row>10</xdr:row>
      <xdr:rowOff>137983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C4B8AB5-233E-86CA-5CF2-782C543EC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09417" y="328084"/>
          <a:ext cx="2133898" cy="2857899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317501</xdr:colOff>
      <xdr:row>45</xdr:row>
      <xdr:rowOff>52917</xdr:rowOff>
    </xdr:from>
    <xdr:to>
      <xdr:col>9</xdr:col>
      <xdr:colOff>643763</xdr:colOff>
      <xdr:row>74</xdr:row>
      <xdr:rowOff>84668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94C794B-B858-73B2-3664-9610F8961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9834" y="10308167"/>
          <a:ext cx="6104762" cy="5249334"/>
        </a:xfrm>
        <a:prstGeom prst="rect">
          <a:avLst/>
        </a:prstGeom>
      </xdr:spPr>
    </xdr:pic>
    <xdr:clientData/>
  </xdr:twoCellAnchor>
  <xdr:oneCellAnchor>
    <xdr:from>
      <xdr:col>1</xdr:col>
      <xdr:colOff>772584</xdr:colOff>
      <xdr:row>27</xdr:row>
      <xdr:rowOff>21167</xdr:rowOff>
    </xdr:from>
    <xdr:ext cx="1534583" cy="1274027"/>
    <xdr:pic>
      <xdr:nvPicPr>
        <xdr:cNvPr id="12" name="Picture 11">
          <a:extLst>
            <a:ext uri="{FF2B5EF4-FFF2-40B4-BE49-F238E27FC236}">
              <a16:creationId xmlns:a16="http://schemas.microsoft.com/office/drawing/2014/main" id="{76B0BE45-9D51-429C-9A67-969571A4E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917" y="7207250"/>
          <a:ext cx="1534583" cy="1274027"/>
        </a:xfrm>
        <a:prstGeom prst="rect">
          <a:avLst/>
        </a:prstGeom>
      </xdr:spPr>
    </xdr:pic>
    <xdr:clientData/>
  </xdr:one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25D55B5-A19E-47B2-AF85-C2E509B44C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748193</xdr:colOff>
      <xdr:row>37</xdr:row>
      <xdr:rowOff>76823</xdr:rowOff>
    </xdr:from>
    <xdr:to>
      <xdr:col>4</xdr:col>
      <xdr:colOff>227683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F1E85-320E-411E-BD09-0E83D55897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6293" y="8887448"/>
          <a:ext cx="2508440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CC6E41-DFDA-4B9D-B62A-A2E5AA06A1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78CC9C-5AAF-461C-B359-7F5A407F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E38ABB-7F12-4695-B4AE-7D8164136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30B99997-E9F9-47CE-8561-A3E1B9DFA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211667</xdr:colOff>
      <xdr:row>0</xdr:row>
      <xdr:rowOff>0</xdr:rowOff>
    </xdr:from>
    <xdr:to>
      <xdr:col>14</xdr:col>
      <xdr:colOff>490510</xdr:colOff>
      <xdr:row>14</xdr:row>
      <xdr:rowOff>55602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AF88347-F65E-EC3D-65E3-D814004B7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72917" y="0"/>
          <a:ext cx="3591426" cy="4077269"/>
        </a:xfrm>
        <a:prstGeom prst="rect">
          <a:avLst/>
        </a:prstGeom>
      </xdr:spPr>
    </xdr:pic>
    <xdr:clientData/>
  </xdr:twoCellAnchor>
  <xdr:twoCellAnchor editAs="oneCell">
    <xdr:from>
      <xdr:col>1</xdr:col>
      <xdr:colOff>451555</xdr:colOff>
      <xdr:row>46</xdr:row>
      <xdr:rowOff>158749</xdr:rowOff>
    </xdr:from>
    <xdr:to>
      <xdr:col>9</xdr:col>
      <xdr:colOff>793750</xdr:colOff>
      <xdr:row>71</xdr:row>
      <xdr:rowOff>178487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EED167-F86E-FC8F-4B0D-3B3AA310A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3888" y="10593916"/>
          <a:ext cx="6120695" cy="4517654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6527085-7906-4DE3-8581-5FA88FCF07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A952AA-7C7E-487D-B952-0F73684BD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12</xdr:col>
      <xdr:colOff>423103</xdr:colOff>
      <xdr:row>23</xdr:row>
      <xdr:rowOff>163921</xdr:rowOff>
    </xdr:from>
    <xdr:to>
      <xdr:col>15</xdr:col>
      <xdr:colOff>141084</xdr:colOff>
      <xdr:row>30</xdr:row>
      <xdr:rowOff>376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1606E9-594E-4536-8917-9A2BF15DB1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186103" y="6376338"/>
          <a:ext cx="2522564" cy="1095871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D50ED9-0E17-4315-9819-45334A430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30</xdr:row>
      <xdr:rowOff>1589</xdr:rowOff>
    </xdr:from>
    <xdr:to>
      <xdr:col>4</xdr:col>
      <xdr:colOff>1334290</xdr:colOff>
      <xdr:row>34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7CA897-118F-4A10-980E-22DBD26A22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75263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910EA4-47A0-4AD1-AA9C-EC5404550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D24EEB4-1E47-4A22-8A20-6BC09D3B1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9D75A83-FC2D-49F4-B848-E701E0DE7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D2D3CD8-AB7D-48B2-B0DE-8A4569259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</xdr:col>
      <xdr:colOff>822172</xdr:colOff>
      <xdr:row>36</xdr:row>
      <xdr:rowOff>40659</xdr:rowOff>
    </xdr:from>
    <xdr:to>
      <xdr:col>4</xdr:col>
      <xdr:colOff>307353</xdr:colOff>
      <xdr:row>41</xdr:row>
      <xdr:rowOff>190557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A35B00D-6EF7-4D02-BC42-75772D21E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4505" y="8602576"/>
          <a:ext cx="2628431" cy="1091814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8180ED-C992-4061-9605-AF679C9B8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25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F15EA666-3C73-4F72-B017-65B7B604E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17" y="7031567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84666</xdr:colOff>
      <xdr:row>1</xdr:row>
      <xdr:rowOff>116416</xdr:rowOff>
    </xdr:from>
    <xdr:to>
      <xdr:col>14</xdr:col>
      <xdr:colOff>302043</xdr:colOff>
      <xdr:row>10</xdr:row>
      <xdr:rowOff>192919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88A423-E722-7F3B-5D2A-09D5BDF5E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895166" y="1068916"/>
          <a:ext cx="3000794" cy="217200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0A4CF38-B185-488B-AFA1-A2FA88E86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43</xdr:row>
      <xdr:rowOff>23905</xdr:rowOff>
    </xdr:from>
    <xdr:to>
      <xdr:col>4</xdr:col>
      <xdr:colOff>143016</xdr:colOff>
      <xdr:row>49</xdr:row>
      <xdr:rowOff>31984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8E1A34-7D13-445E-9799-2478ED6001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9908738"/>
          <a:ext cx="2516907" cy="1098163"/>
        </a:xfrm>
        <a:prstGeom prst="rect">
          <a:avLst/>
        </a:prstGeom>
      </xdr:spPr>
    </xdr:pic>
    <xdr:clientData/>
  </xdr:twoCellAnchor>
  <xdr:twoCellAnchor editAs="oneCell">
    <xdr:from>
      <xdr:col>4</xdr:col>
      <xdr:colOff>12701</xdr:colOff>
      <xdr:row>45</xdr:row>
      <xdr:rowOff>4236</xdr:rowOff>
    </xdr:from>
    <xdr:to>
      <xdr:col>4</xdr:col>
      <xdr:colOff>1022350</xdr:colOff>
      <xdr:row>49</xdr:row>
      <xdr:rowOff>21360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90713E-1B8B-463A-9F44-32F4B4C881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92451" y="10259486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931C871-E04D-466D-B2DC-AE3934E06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B7FE8E0-9782-4FBB-8AF5-A791FE39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243415</xdr:colOff>
      <xdr:row>0</xdr:row>
      <xdr:rowOff>211665</xdr:rowOff>
    </xdr:from>
    <xdr:to>
      <xdr:col>21</xdr:col>
      <xdr:colOff>98479</xdr:colOff>
      <xdr:row>23</xdr:row>
      <xdr:rowOff>77046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D69BF28-9551-149D-9855-CE7CD4F27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04665" y="211665"/>
          <a:ext cx="7983064" cy="6077798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94AC7F5-1DB8-4E1B-8AD9-AD54604765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666591</xdr:colOff>
      <xdr:row>34</xdr:row>
      <xdr:rowOff>93190</xdr:rowOff>
    </xdr:from>
    <xdr:to>
      <xdr:col>4</xdr:col>
      <xdr:colOff>406301</xdr:colOff>
      <xdr:row>41</xdr:row>
      <xdr:rowOff>40572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1995A3-2E40-4716-9269-37FA424DA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2310" y="8463284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1BAC828-500C-46EE-A222-128DE7A91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D1A58F3F-6D31-4CE8-94B6-24E55110C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A9D0EF-0D38-4E26-B274-DEFC84476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2D87E37-6138-4872-ADCF-2A566AAB47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B4FAB61-4529-4B67-B34F-42D24C9402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17DF2F1-FC12-46CA-8793-85BE519CF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214313</xdr:colOff>
      <xdr:row>0</xdr:row>
      <xdr:rowOff>0</xdr:rowOff>
    </xdr:from>
    <xdr:to>
      <xdr:col>15</xdr:col>
      <xdr:colOff>748399</xdr:colOff>
      <xdr:row>14</xdr:row>
      <xdr:rowOff>52989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5887EF2-7169-97B9-C878-0D84DDE1C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55719" y="0"/>
          <a:ext cx="4915586" cy="4315427"/>
        </a:xfrm>
        <a:prstGeom prst="rect">
          <a:avLst/>
        </a:prstGeom>
      </xdr:spPr>
    </xdr:pic>
    <xdr:clientData/>
  </xdr:twoCellAnchor>
  <xdr:twoCellAnchor editAs="oneCell">
    <xdr:from>
      <xdr:col>1</xdr:col>
      <xdr:colOff>83346</xdr:colOff>
      <xdr:row>66</xdr:row>
      <xdr:rowOff>71437</xdr:rowOff>
    </xdr:from>
    <xdr:to>
      <xdr:col>9</xdr:col>
      <xdr:colOff>1273969</xdr:colOff>
      <xdr:row>96</xdr:row>
      <xdr:rowOff>107155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AA04305-E379-9F08-15B8-9CEE90AF3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065" y="14227968"/>
          <a:ext cx="6953248" cy="5393531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357186</xdr:colOff>
      <xdr:row>43</xdr:row>
      <xdr:rowOff>107157</xdr:rowOff>
    </xdr:from>
    <xdr:to>
      <xdr:col>9</xdr:col>
      <xdr:colOff>881938</xdr:colOff>
      <xdr:row>65</xdr:row>
      <xdr:rowOff>59531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DDFD1E7-631B-7A98-E04C-60FB10F77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92905" y="10156032"/>
          <a:ext cx="6287377" cy="3881437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008083C-690E-43B1-9C27-94D1AA00BD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748193</xdr:colOff>
      <xdr:row>37</xdr:row>
      <xdr:rowOff>76823</xdr:rowOff>
    </xdr:from>
    <xdr:to>
      <xdr:col>4</xdr:col>
      <xdr:colOff>227683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852A87-C997-4557-BA39-7CD17516B6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6293" y="8887448"/>
          <a:ext cx="2508440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CDF03F1-C3EA-4811-AABA-8C4E43B38D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CBB5E2-5D96-4315-B60F-F4EC9C773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396124A-8D90-4ACF-9C1C-42317A7F6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07DAA9A8-2196-497B-A785-477D8257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</xdr:colOff>
      <xdr:row>0</xdr:row>
      <xdr:rowOff>296333</xdr:rowOff>
    </xdr:from>
    <xdr:to>
      <xdr:col>14</xdr:col>
      <xdr:colOff>180369</xdr:colOff>
      <xdr:row>10</xdr:row>
      <xdr:rowOff>230074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071898-010C-4FDC-A444-65CB1888C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06783" y="296333"/>
          <a:ext cx="3227311" cy="2981741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D71F3EE-A1A2-4B1D-A6EA-1C54E494A8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67D762-BD0F-4DEF-871C-5C917459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744468</xdr:colOff>
      <xdr:row>37</xdr:row>
      <xdr:rowOff>48709</xdr:rowOff>
    </xdr:from>
    <xdr:to>
      <xdr:col>4</xdr:col>
      <xdr:colOff>373763</xdr:colOff>
      <xdr:row>43</xdr:row>
      <xdr:rowOff>63571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5B015A-A923-4E16-9F40-E1567D480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2568" y="885933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749841D-72EE-4C06-A874-DBA340B30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31</xdr:row>
      <xdr:rowOff>46303</xdr:rowOff>
    </xdr:from>
    <xdr:to>
      <xdr:col>4</xdr:col>
      <xdr:colOff>1244864</xdr:colOff>
      <xdr:row>35</xdr:row>
      <xdr:rowOff>56019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A386F93-FE1E-4417-AAB0-6B634E4CC7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77615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633918D-697A-4BA3-9938-502BEAF5A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2AEF452-44AC-44A1-8F8A-C7CDA24AE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BA65AF-8D0B-4986-B448-7C6720628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30</xdr:row>
      <xdr:rowOff>58087</xdr:rowOff>
    </xdr:from>
    <xdr:to>
      <xdr:col>4</xdr:col>
      <xdr:colOff>204583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BBF29E4-8D71-414A-8FA5-203379CB43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3369" y="7592362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DE2A28-26C1-44EE-AFA6-2BEEB001B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324642</xdr:colOff>
      <xdr:row>31</xdr:row>
      <xdr:rowOff>43922</xdr:rowOff>
    </xdr:from>
    <xdr:to>
      <xdr:col>4</xdr:col>
      <xdr:colOff>1334291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874F509-FECB-4F13-864D-2F4FC8506C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7" y="7759172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908360F-3ABB-4E8E-A36A-2CEBC1BBC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4D067E7D-DC7F-4A04-8E36-0FE890482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50E4DB1-586F-443A-8797-42591B3D5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172572</xdr:colOff>
      <xdr:row>0</xdr:row>
      <xdr:rowOff>105833</xdr:rowOff>
    </xdr:from>
    <xdr:to>
      <xdr:col>17</xdr:col>
      <xdr:colOff>144070</xdr:colOff>
      <xdr:row>8</xdr:row>
      <xdr:rowOff>124416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41A07C4-C31C-7F70-1B54-8382EEBAA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39655" y="105833"/>
          <a:ext cx="5358415" cy="2717333"/>
        </a:xfrm>
        <a:prstGeom prst="rect">
          <a:avLst/>
        </a:prstGeom>
      </xdr:spPr>
    </xdr:pic>
    <xdr:clientData/>
  </xdr:twoCellAnchor>
  <xdr:twoCellAnchor editAs="oneCell">
    <xdr:from>
      <xdr:col>1</xdr:col>
      <xdr:colOff>773225</xdr:colOff>
      <xdr:row>43</xdr:row>
      <xdr:rowOff>10583</xdr:rowOff>
    </xdr:from>
    <xdr:to>
      <xdr:col>9</xdr:col>
      <xdr:colOff>751416</xdr:colOff>
      <xdr:row>75</xdr:row>
      <xdr:rowOff>137583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1E7EC69-C985-9521-C4D2-5C4FE238B5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7575" r="5066" b="3267"/>
        <a:stretch/>
      </xdr:blipFill>
      <xdr:spPr>
        <a:xfrm>
          <a:off x="815558" y="9895416"/>
          <a:ext cx="5862525" cy="5894917"/>
        </a:xfrm>
        <a:prstGeom prst="rect">
          <a:avLst/>
        </a:prstGeom>
      </xdr:spPr>
    </xdr:pic>
    <xdr:clientData/>
  </xdr:twoCellAnchor>
  <xdr:twoCellAnchor editAs="oneCell">
    <xdr:from>
      <xdr:col>3</xdr:col>
      <xdr:colOff>31750</xdr:colOff>
      <xdr:row>75</xdr:row>
      <xdr:rowOff>52917</xdr:rowOff>
    </xdr:from>
    <xdr:to>
      <xdr:col>5</xdr:col>
      <xdr:colOff>762000</xdr:colOff>
      <xdr:row>98</xdr:row>
      <xdr:rowOff>21168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A2293B-8795-2356-0631-E688DBB302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6951" t="31955" r="32935" b="3651"/>
        <a:stretch/>
      </xdr:blipFill>
      <xdr:spPr>
        <a:xfrm>
          <a:off x="1492250" y="15705667"/>
          <a:ext cx="4042833" cy="4106334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C011CA3-047F-4CC6-AC57-149BC7170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678498</xdr:colOff>
      <xdr:row>34</xdr:row>
      <xdr:rowOff>93190</xdr:rowOff>
    </xdr:from>
    <xdr:to>
      <xdr:col>4</xdr:col>
      <xdr:colOff>418208</xdr:colOff>
      <xdr:row>41</xdr:row>
      <xdr:rowOff>40572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39C64C-A95B-40FE-8D35-99F0A6FA2D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4217" y="8463284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76EC25-293B-4432-96D4-CFB8A23E3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B3A84461-7406-4783-B715-0AF36887D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27A5D8-690E-4157-8A88-B1F4C4131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807CEF7-C536-4731-8C6B-A7216D8DE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55807" y="10270332"/>
          <a:ext cx="895350" cy="651435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E16B85A-4CE7-43E5-B36F-5124436FFA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42E5D3A-1F6B-4C92-9D8E-4C1ABB25F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33DD2AD-AED9-4CBA-BC44-851C503AC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10</xdr:col>
      <xdr:colOff>261938</xdr:colOff>
      <xdr:row>0</xdr:row>
      <xdr:rowOff>35719</xdr:rowOff>
    </xdr:from>
    <xdr:to>
      <xdr:col>15</xdr:col>
      <xdr:colOff>569852</xdr:colOff>
      <xdr:row>14</xdr:row>
      <xdr:rowOff>136340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6578822-D797-92AA-A93B-D6E66C13A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703344" y="35719"/>
          <a:ext cx="4689414" cy="43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571499</xdr:colOff>
      <xdr:row>43</xdr:row>
      <xdr:rowOff>178593</xdr:rowOff>
    </xdr:from>
    <xdr:to>
      <xdr:col>9</xdr:col>
      <xdr:colOff>991462</xdr:colOff>
      <xdr:row>66</xdr:row>
      <xdr:rowOff>148206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405B3AC-2447-86C8-5EBA-94CD5160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7218" y="10227468"/>
          <a:ext cx="6182588" cy="4077269"/>
        </a:xfrm>
        <a:prstGeom prst="rect">
          <a:avLst/>
        </a:prstGeom>
      </xdr:spPr>
    </xdr:pic>
    <xdr:clientData/>
  </xdr:twoCellAnchor>
  <xdr:twoCellAnchor editAs="oneCell">
    <xdr:from>
      <xdr:col>1</xdr:col>
      <xdr:colOff>178593</xdr:colOff>
      <xdr:row>68</xdr:row>
      <xdr:rowOff>47625</xdr:rowOff>
    </xdr:from>
    <xdr:to>
      <xdr:col>9</xdr:col>
      <xdr:colOff>1404937</xdr:colOff>
      <xdr:row>91</xdr:row>
      <xdr:rowOff>166689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F46462A-0CD7-2E19-138E-E38DE0EE4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4312" y="14561344"/>
          <a:ext cx="6988969" cy="4226720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3D4F28B-ACF8-4777-BA0C-CC2FBC51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12D984C-B974-49EA-9775-57CC3F45E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274658</xdr:colOff>
      <xdr:row>25</xdr:row>
      <xdr:rowOff>48945</xdr:rowOff>
    </xdr:from>
    <xdr:to>
      <xdr:col>16</xdr:col>
      <xdr:colOff>264790</xdr:colOff>
      <xdr:row>32</xdr:row>
      <xdr:rowOff>11340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3843044-CF2E-4BD9-8450-33062C63F4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778491" y="6748195"/>
          <a:ext cx="2826466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D5FDD0-5EB7-4DEF-B3B8-FA4BE1695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F29568-7D64-43D4-AA19-D8ECFE034F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18295B0-CF0D-487A-B7C2-E0CCAE491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AE82E6E-1FFA-424D-A9BA-BFBB853AA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B35789-B146-4D75-A27D-62FEC7424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116417</xdr:colOff>
      <xdr:row>0</xdr:row>
      <xdr:rowOff>550333</xdr:rowOff>
    </xdr:from>
    <xdr:to>
      <xdr:col>14</xdr:col>
      <xdr:colOff>471430</xdr:colOff>
      <xdr:row>6</xdr:row>
      <xdr:rowOff>116708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AA2013C-442D-6871-A075-7B802A1B0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83500" y="550333"/>
          <a:ext cx="3381847" cy="2095792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A15D8DD-73AB-425E-A9DE-6729D391C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300CDA-E6CA-4EA8-AA42-4E0510F38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698268</xdr:colOff>
      <xdr:row>25</xdr:row>
      <xdr:rowOff>132170</xdr:rowOff>
    </xdr:from>
    <xdr:to>
      <xdr:col>16</xdr:col>
      <xdr:colOff>384498</xdr:colOff>
      <xdr:row>32</xdr:row>
      <xdr:rowOff>94565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B4B797-8E66-40FC-A1F5-B0CA326621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10202101" y="6831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94FEC0-2DA8-40A3-944B-197AD717C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B3BD11-7C16-4DED-9BC2-F5BB2C06FA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1C964F2-CC91-46F4-BF9A-CCF668FFF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127FE6F-CAF3-451A-9F99-6F8E96300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1471AE7-03DE-4123-A9A2-481A39E48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72BFB95-5EC4-4DB9-A270-9732BCE5D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7F4EA-2585-4972-8FC4-059E16692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750818</xdr:colOff>
      <xdr:row>37</xdr:row>
      <xdr:rowOff>85749</xdr:rowOff>
    </xdr:from>
    <xdr:to>
      <xdr:col>4</xdr:col>
      <xdr:colOff>369529</xdr:colOff>
      <xdr:row>43</xdr:row>
      <xdr:rowOff>98494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EA8C6B-4AA1-455D-BAC5-429AA42B0C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3151" y="8827582"/>
          <a:ext cx="2656128" cy="1155745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0C2E7B2-DEAD-4A1B-8D54-3454CEFB8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74878</xdr:rowOff>
    </xdr:from>
    <xdr:to>
      <xdr:col>4</xdr:col>
      <xdr:colOff>1263914</xdr:colOff>
      <xdr:row>35</xdr:row>
      <xdr:rowOff>84594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9FB5157-C231-4A0F-8E0C-A0C38D7B45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901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107950</xdr:colOff>
      <xdr:row>28</xdr:row>
      <xdr:rowOff>51281</xdr:rowOff>
    </xdr:from>
    <xdr:ext cx="1394883" cy="1158046"/>
    <xdr:pic>
      <xdr:nvPicPr>
        <xdr:cNvPr id="7" name="Picture 6">
          <a:extLst>
            <a:ext uri="{FF2B5EF4-FFF2-40B4-BE49-F238E27FC236}">
              <a16:creationId xmlns:a16="http://schemas.microsoft.com/office/drawing/2014/main" id="{188241A2-8978-4F4A-9300-398F1528F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4617" y="7290281"/>
          <a:ext cx="1394883" cy="1158046"/>
        </a:xfrm>
        <a:prstGeom prst="rect">
          <a:avLst/>
        </a:prstGeom>
      </xdr:spPr>
    </xdr:pic>
    <xdr:clientData/>
  </xdr:one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806DAE0-8897-49ED-B5BC-0C4587B78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10</xdr:col>
      <xdr:colOff>476372</xdr:colOff>
      <xdr:row>32</xdr:row>
      <xdr:rowOff>66449</xdr:rowOff>
    </xdr:from>
    <xdr:to>
      <xdr:col>13</xdr:col>
      <xdr:colOff>629259</xdr:colOff>
      <xdr:row>39</xdr:row>
      <xdr:rowOff>13830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C63A3B-8DC1-463E-8FDD-14F62F6101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17778" y="8079355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48C74D-3A0C-4589-85B4-539FBED5E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6D31FBB7-B095-4CFC-9FCF-F83D39CB9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988" y="75057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37F00F4-30F6-4687-B97F-CC37BD28E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569120</xdr:colOff>
      <xdr:row>43</xdr:row>
      <xdr:rowOff>173832</xdr:rowOff>
    </xdr:from>
    <xdr:to>
      <xdr:col>4</xdr:col>
      <xdr:colOff>1464470</xdr:colOff>
      <xdr:row>47</xdr:row>
      <xdr:rowOff>110892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DF21D8-281F-49EF-8E12-FCD98DC233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29026" y="10222707"/>
          <a:ext cx="895350" cy="651435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54A244E-303B-43AD-8A03-2703D266F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970309"/>
          <a:ext cx="1077383" cy="78896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835556A-C042-4024-B907-4E44A3B34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3907" y="7863937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F00F9F-2C46-4495-AAAD-CAFB7FCC3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11</xdr:col>
      <xdr:colOff>169417</xdr:colOff>
      <xdr:row>0</xdr:row>
      <xdr:rowOff>928689</xdr:rowOff>
    </xdr:from>
    <xdr:to>
      <xdr:col>14</xdr:col>
      <xdr:colOff>598441</xdr:colOff>
      <xdr:row>28</xdr:row>
      <xdr:rowOff>62654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D89CD4-8719-4E60-B720-592129D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6824841" y="2693365"/>
          <a:ext cx="6387252" cy="2857899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DC7D53C-B77D-4859-8CD4-540404579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EB776E-4BC5-4190-8C3B-F9496F360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30</xdr:row>
      <xdr:rowOff>58087</xdr:rowOff>
    </xdr:from>
    <xdr:to>
      <xdr:col>4</xdr:col>
      <xdr:colOff>204583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25BC35-C0CE-4810-832A-8897B1A6F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3369" y="7592362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3D52FF4-50EC-45E5-9BCF-5EEEC0B65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324642</xdr:colOff>
      <xdr:row>31</xdr:row>
      <xdr:rowOff>43922</xdr:rowOff>
    </xdr:from>
    <xdr:to>
      <xdr:col>4</xdr:col>
      <xdr:colOff>1334291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8BADA9F-352D-4DBF-B58F-EEE8FC3AB9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7" y="7759172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82A953-AAE8-41D1-8FEA-706F2C677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F0DC099-7D90-478B-8EA2-64A385243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9B204DF-8DA1-45B5-BF8C-E650320D5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2270139-C8EF-4E73-BF96-DE4D4B1159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E800EF-2756-44D9-82A3-D5119C8BF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785959</xdr:colOff>
      <xdr:row>36</xdr:row>
      <xdr:rowOff>166945</xdr:rowOff>
    </xdr:from>
    <xdr:to>
      <xdr:col>4</xdr:col>
      <xdr:colOff>165273</xdr:colOff>
      <xdr:row>42</xdr:row>
      <xdr:rowOff>145971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B30F9B-E52B-4836-B896-9AF1DC377E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6780" y="8739445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64A8ED-C878-4BF2-AD44-90E7799E2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69623</xdr:rowOff>
    </xdr:from>
    <xdr:to>
      <xdr:col>4</xdr:col>
      <xdr:colOff>1249626</xdr:colOff>
      <xdr:row>35</xdr:row>
      <xdr:rowOff>79339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ED252D-A4BE-4D08-8FD3-A21A73CBD6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4048" y="7744052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96E5C1C-2BB8-4821-8CBE-521D8DA4D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DD06FAA-F599-48FB-86C8-E6029241B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39502</xdr:colOff>
      <xdr:row>30</xdr:row>
      <xdr:rowOff>65544</xdr:rowOff>
    </xdr:from>
    <xdr:to>
      <xdr:col>4</xdr:col>
      <xdr:colOff>463071</xdr:colOff>
      <xdr:row>36</xdr:row>
      <xdr:rowOff>79180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8D8675-D0E5-4DFA-BC28-BF6126254C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2940" y="7626013"/>
          <a:ext cx="265003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302420</xdr:colOff>
      <xdr:row>31</xdr:row>
      <xdr:rowOff>28573</xdr:rowOff>
    </xdr:from>
    <xdr:to>
      <xdr:col>4</xdr:col>
      <xdr:colOff>1312069</xdr:colOff>
      <xdr:row>35</xdr:row>
      <xdr:rowOff>36815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279204-0F07-4985-839C-95BF0748EC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9470" y="7743823"/>
          <a:ext cx="1009649" cy="741667"/>
        </a:xfrm>
        <a:prstGeom prst="rect">
          <a:avLst/>
        </a:prstGeom>
      </xdr:spPr>
    </xdr:pic>
    <xdr:clientData/>
  </xdr:twoCellAnchor>
  <xdr:oneCellAnchor>
    <xdr:from>
      <xdr:col>11</xdr:col>
      <xdr:colOff>535780</xdr:colOff>
      <xdr:row>22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6CFA9F82-9ACB-4050-9595-BE4702A1A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7218" y="6238875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</xdr:col>
      <xdr:colOff>750093</xdr:colOff>
      <xdr:row>37</xdr:row>
      <xdr:rowOff>47628</xdr:rowOff>
    </xdr:from>
    <xdr:to>
      <xdr:col>4</xdr:col>
      <xdr:colOff>229583</xdr:colOff>
      <xdr:row>43</xdr:row>
      <xdr:rowOff>1733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F9201A-2331-48FC-8842-C0232B1451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5812" y="8870159"/>
          <a:ext cx="2503677" cy="1097105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242DA6A-665B-4155-9684-92104C61E4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18BBD7-4B67-40A7-B6D7-6D5F57C5E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857020</xdr:colOff>
      <xdr:row>36</xdr:row>
      <xdr:rowOff>47505</xdr:rowOff>
    </xdr:from>
    <xdr:to>
      <xdr:col>4</xdr:col>
      <xdr:colOff>236334</xdr:colOff>
      <xdr:row>41</xdr:row>
      <xdr:rowOff>200401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F047C59-52A7-4AC0-9D2C-8794E8BE28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3" y="8609422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F1FCB3A-8B69-4737-A04D-B452192DB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07831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30</xdr:row>
      <xdr:rowOff>1589</xdr:rowOff>
    </xdr:from>
    <xdr:to>
      <xdr:col>4</xdr:col>
      <xdr:colOff>1334290</xdr:colOff>
      <xdr:row>34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30EAB39-1A94-45FA-BE3E-9A0DE85BD0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85169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F7A541-97F7-44A3-AD81-FB0F9CA1C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0173EE4-B665-437F-90BE-75E6094DB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94181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</xdr:colOff>
      <xdr:row>0</xdr:row>
      <xdr:rowOff>201083</xdr:rowOff>
    </xdr:from>
    <xdr:to>
      <xdr:col>14</xdr:col>
      <xdr:colOff>332316</xdr:colOff>
      <xdr:row>12</xdr:row>
      <xdr:rowOff>38100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A4F128-D102-45D9-B2CE-4E05C1056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1558" y="201083"/>
          <a:ext cx="3103033" cy="338031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</xdr:row>
      <xdr:rowOff>0</xdr:rowOff>
    </xdr:from>
    <xdr:to>
      <xdr:col>15</xdr:col>
      <xdr:colOff>758264</xdr:colOff>
      <xdr:row>18</xdr:row>
      <xdr:rowOff>211866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A7D28E-2364-4FF8-B5C2-2556046CE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53475" y="3790950"/>
          <a:ext cx="3558614" cy="145011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C4DECA5-7EDB-49EA-9CFA-E942E9323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5283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232D5D-D48E-47DC-A1F8-244FD2165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52830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591C99-138A-4EC8-8518-F5ACC4E189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9366874"/>
          <a:ext cx="2514790" cy="1093931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DCA2B27-80F2-4888-8278-946E004287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10078509"/>
          <a:ext cx="1009649" cy="724092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25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BF2FD02F-08CD-4CB7-B9FB-6936B9227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17" y="8022167"/>
          <a:ext cx="1606220" cy="1333500"/>
        </a:xfrm>
        <a:prstGeom prst="rect">
          <a:avLst/>
        </a:prstGeom>
      </xdr:spPr>
    </xdr:pic>
    <xdr:clientData/>
  </xdr:one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5FF55BB-3BCE-4D73-97D9-4D9E3E738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A3EA9FD-F02A-4DE7-89DD-9AD9104E7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782935</xdr:colOff>
      <xdr:row>30</xdr:row>
      <xdr:rowOff>5171</xdr:rowOff>
    </xdr:from>
    <xdr:to>
      <xdr:col>4</xdr:col>
      <xdr:colOff>162249</xdr:colOff>
      <xdr:row>36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8A8CE3-0F86-40BB-B66B-794CE587E8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1035" y="7539446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E0AD46-D8A0-43B6-A14F-E78C96864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D0A0AF7-7B13-4FA8-816C-50E2B47AC7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71B8C5-66ED-44FB-9E77-B863AB887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A57B2BC-7F9C-48B2-B366-866559E53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CB934F-1300-486C-A384-EFEA0278E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3A69153-15BD-425B-9E34-9BD07D06F3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338032-BB6D-4BD5-B4BF-85C2B0333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835852</xdr:colOff>
      <xdr:row>30</xdr:row>
      <xdr:rowOff>36920</xdr:rowOff>
    </xdr:from>
    <xdr:to>
      <xdr:col>4</xdr:col>
      <xdr:colOff>215166</xdr:colOff>
      <xdr:row>36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42F363-B03E-4103-B983-54475ADA7A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5" y="75087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74C46B8-34E4-43CE-BE9B-3F68F9F6C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303475</xdr:colOff>
      <xdr:row>31</xdr:row>
      <xdr:rowOff>96839</xdr:rowOff>
    </xdr:from>
    <xdr:to>
      <xdr:col>4</xdr:col>
      <xdr:colOff>1313124</xdr:colOff>
      <xdr:row>35</xdr:row>
      <xdr:rowOff>106555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2C171C5-C895-4356-8C39-02CEDCC411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89058" y="7748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BCE6AB-85DD-4D8F-9CBC-BC4A031E5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60CF34C-A47A-4585-958F-71EBEF9BD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B8FB47E-0DF5-46ED-9517-0E09804A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EAA8CF5-2B3C-4EF8-8B99-C9FCDB78E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DB4A62-4450-4E08-8B0F-B66C3A71E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814687</xdr:colOff>
      <xdr:row>30</xdr:row>
      <xdr:rowOff>58087</xdr:rowOff>
    </xdr:from>
    <xdr:to>
      <xdr:col>4</xdr:col>
      <xdr:colOff>194001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9F5712E-9616-45EE-9616-8D029990A5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7020" y="752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61543AA-5DD6-4098-A6B0-003A2905D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314059</xdr:colOff>
      <xdr:row>31</xdr:row>
      <xdr:rowOff>65090</xdr:rowOff>
    </xdr:from>
    <xdr:to>
      <xdr:col>4</xdr:col>
      <xdr:colOff>1323708</xdr:colOff>
      <xdr:row>35</xdr:row>
      <xdr:rowOff>74806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79542F-0046-4737-AB71-0FB47C6248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2" y="771684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914CA1D-EB69-42BF-812E-569DCB06F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0353A52-3320-47C5-8E3D-AF9C758AD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5A2DB50-DDFD-4B83-8F0E-C98C513B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D21A1A9-89C6-4C57-8FAE-A7299C8F1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5B60C3-C997-4EDA-8F65-FDA58804A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867602</xdr:colOff>
      <xdr:row>30</xdr:row>
      <xdr:rowOff>36920</xdr:rowOff>
    </xdr:from>
    <xdr:to>
      <xdr:col>4</xdr:col>
      <xdr:colOff>246916</xdr:colOff>
      <xdr:row>36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F73517D-41E1-448A-807C-AE20D33BAC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5" y="75087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F92D11-C24B-450F-98AA-65A1D63EE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261142</xdr:colOff>
      <xdr:row>30</xdr:row>
      <xdr:rowOff>170923</xdr:rowOff>
    </xdr:from>
    <xdr:to>
      <xdr:col>4</xdr:col>
      <xdr:colOff>1270791</xdr:colOff>
      <xdr:row>35</xdr:row>
      <xdr:rowOff>722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14B9D8-DEAE-45BB-95FF-4D5A76ACA8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5" y="764275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6232BE8-C874-426A-9116-3B7066E21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8BEFD804-84B8-44D3-94FB-6B5D42AF2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B41F163-C343-4324-9C5D-FB59F9389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E445FC-6296-48CB-8988-88078C14FF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2B8F0B1-EAD8-43B7-9DF3-F6AEDF706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878186</xdr:colOff>
      <xdr:row>30</xdr:row>
      <xdr:rowOff>121587</xdr:rowOff>
    </xdr:from>
    <xdr:to>
      <xdr:col>4</xdr:col>
      <xdr:colOff>257500</xdr:colOff>
      <xdr:row>36</xdr:row>
      <xdr:rowOff>126315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1BCA116-DAA7-4696-AA37-6B90CA018A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20519" y="7593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BA92E62-22AD-4F93-86E2-A5CEE3588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303476</xdr:colOff>
      <xdr:row>31</xdr:row>
      <xdr:rowOff>96839</xdr:rowOff>
    </xdr:from>
    <xdr:to>
      <xdr:col>4</xdr:col>
      <xdr:colOff>1313125</xdr:colOff>
      <xdr:row>35</xdr:row>
      <xdr:rowOff>106555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449ABC8-B89D-4568-A00B-C8CE67D5F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89059" y="7748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088F3B0-C4E2-4919-8B74-FA7F3B1AC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DA869FA-C0BF-4F12-8545-8C6122767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59F8824-530A-448F-9325-A6FC986CC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271ADFA-38CB-4123-86B5-46D6BC27C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E9462A-278A-430F-8F4B-CACED9C6F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761768</xdr:colOff>
      <xdr:row>30</xdr:row>
      <xdr:rowOff>47504</xdr:rowOff>
    </xdr:from>
    <xdr:to>
      <xdr:col>4</xdr:col>
      <xdr:colOff>141082</xdr:colOff>
      <xdr:row>36</xdr:row>
      <xdr:rowOff>52232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33E118-B9D7-4BBB-980C-C43C63997F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4101" y="7519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C5764C-9287-4686-ACCF-1D6B0034F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229392</xdr:colOff>
      <xdr:row>31</xdr:row>
      <xdr:rowOff>33339</xdr:rowOff>
    </xdr:from>
    <xdr:to>
      <xdr:col>4</xdr:col>
      <xdr:colOff>1239041</xdr:colOff>
      <xdr:row>35</xdr:row>
      <xdr:rowOff>43055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E4D032-8A9C-4452-ACF7-602EDCE16E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5" y="76850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059F4AA-D1CB-4E02-96CC-56D873E4F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1A0364A-9DEA-4A27-AB8E-A45217405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6C760E6-BE35-4D7B-864E-A5592E7AA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AFD6C0C-3B56-4880-BA23-B757725EA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752B66-BE48-44DF-959F-0938A1EEF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782935</xdr:colOff>
      <xdr:row>30</xdr:row>
      <xdr:rowOff>5171</xdr:rowOff>
    </xdr:from>
    <xdr:to>
      <xdr:col>4</xdr:col>
      <xdr:colOff>162249</xdr:colOff>
      <xdr:row>36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B8135D-F817-4AC5-8968-D51C9D12C0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8" y="747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B15255-4A65-4170-998E-14E8392D1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AFF7D2-7118-413A-BDDD-17F3A038A7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2" y="769567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7187E63-6B73-4B51-AC73-4E1064DD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D892A37B-A3E6-4297-9FB2-41AB3E570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5AEB298-9C30-44B6-9BD8-0BAAF95A1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34D45FA-E9BA-476E-9D60-BB396A6388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9445DB-1A15-4E75-9546-3290B60E7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719434</xdr:colOff>
      <xdr:row>30</xdr:row>
      <xdr:rowOff>58087</xdr:rowOff>
    </xdr:from>
    <xdr:to>
      <xdr:col>4</xdr:col>
      <xdr:colOff>98748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A496AA-A38D-46F7-A4F3-18B5B99159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61767" y="752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9625954-535E-4920-849C-D0AD45A10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261142</xdr:colOff>
      <xdr:row>31</xdr:row>
      <xdr:rowOff>12172</xdr:rowOff>
    </xdr:from>
    <xdr:to>
      <xdr:col>4</xdr:col>
      <xdr:colOff>1270791</xdr:colOff>
      <xdr:row>35</xdr:row>
      <xdr:rowOff>21888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69E461C-5F57-445A-BF1C-296A77C1FA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5" y="76639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1B1845-CE83-450B-A18B-5394851DF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AE71EA2-C7D2-4BBC-8EBD-C74416942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6D077C2-0302-4D9B-BD4E-929FD7892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19DCC41-51C3-4E50-8F57-E5A91F92C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145E8A-3D88-406D-9F34-40BE47F06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717925</xdr:colOff>
      <xdr:row>37</xdr:row>
      <xdr:rowOff>3659</xdr:rowOff>
    </xdr:from>
    <xdr:to>
      <xdr:col>4</xdr:col>
      <xdr:colOff>97239</xdr:colOff>
      <xdr:row>42</xdr:row>
      <xdr:rowOff>159578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189D570-0CAA-4012-8150-4669A06E81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8746" y="8753052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D6EEAB-2DCA-4980-B90F-7DE6D4170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267191</xdr:colOff>
      <xdr:row>31</xdr:row>
      <xdr:rowOff>42409</xdr:rowOff>
    </xdr:from>
    <xdr:to>
      <xdr:col>4</xdr:col>
      <xdr:colOff>1276840</xdr:colOff>
      <xdr:row>35</xdr:row>
      <xdr:rowOff>52125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31B9683-4A79-4FD2-B5C2-DCE44E53A3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1262" y="7716838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D1A1A34-463C-4E74-90A9-00DF11869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85880E2-73F9-4B92-86C9-1B882D913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498426-059D-40AB-8500-8674C817C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867603</xdr:colOff>
      <xdr:row>37</xdr:row>
      <xdr:rowOff>58087</xdr:rowOff>
    </xdr:from>
    <xdr:to>
      <xdr:col>4</xdr:col>
      <xdr:colOff>246917</xdr:colOff>
      <xdr:row>43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982D21-1256-4802-9F3D-22AD7B7A4F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8424" y="8807480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628DFD-2374-4926-916E-F7A6DB78B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335227</xdr:colOff>
      <xdr:row>31</xdr:row>
      <xdr:rowOff>96838</xdr:rowOff>
    </xdr:from>
    <xdr:to>
      <xdr:col>4</xdr:col>
      <xdr:colOff>1344876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668450-B4FF-4092-9F66-8BC136A823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9298" y="7771267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62B9BE-1D73-4A49-94E7-9B5B25CA2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27</xdr:row>
      <xdr:rowOff>31751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DFF6514-E855-4524-9E20-BBAA53D4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7289801"/>
          <a:ext cx="1466850" cy="1217794"/>
        </a:xfrm>
        <a:prstGeom prst="rect">
          <a:avLst/>
        </a:prstGeom>
      </xdr:spPr>
    </xdr:pic>
    <xdr:clientData/>
  </xdr:one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7A35355-E815-4E7C-95E1-187A39D1CE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D69528-80C9-470A-BE83-67047239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611115</xdr:colOff>
      <xdr:row>37</xdr:row>
      <xdr:rowOff>67759</xdr:rowOff>
    </xdr:from>
    <xdr:to>
      <xdr:col>4</xdr:col>
      <xdr:colOff>240410</xdr:colOff>
      <xdr:row>43</xdr:row>
      <xdr:rowOff>82621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4105E2-E3F1-47CF-BD75-951A171F4B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9215" y="88783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C91A34-73FE-4EBD-A37E-917D1A92A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35</xdr:row>
      <xdr:rowOff>114300</xdr:rowOff>
    </xdr:from>
    <xdr:to>
      <xdr:col>13</xdr:col>
      <xdr:colOff>485775</xdr:colOff>
      <xdr:row>41</xdr:row>
      <xdr:rowOff>52705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19B5BD6-468D-4CFD-B88C-FCFE32975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1475" y="85629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292365</xdr:colOff>
      <xdr:row>31</xdr:row>
      <xdr:rowOff>36778</xdr:rowOff>
    </xdr:from>
    <xdr:to>
      <xdr:col>4</xdr:col>
      <xdr:colOff>1302014</xdr:colOff>
      <xdr:row>35</xdr:row>
      <xdr:rowOff>46494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C839C7-658D-45F3-94F7-73E647DBD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9415" y="77520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BCA574B-ACB1-4694-A311-0ECCCD113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A40A0D3-C956-4B21-B534-1F9F244B2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120303-7AC9-432C-831D-AD1F8744C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477766</xdr:colOff>
      <xdr:row>37</xdr:row>
      <xdr:rowOff>1086</xdr:rowOff>
    </xdr:from>
    <xdr:to>
      <xdr:col>4</xdr:col>
      <xdr:colOff>107061</xdr:colOff>
      <xdr:row>43</xdr:row>
      <xdr:rowOff>15948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99529F-F0D4-46C2-98E1-877C485CCB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15866" y="88117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F25C45-54EA-4D88-8632-46A5EBE2D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1B1485-CE1E-428A-8D5C-8FC8A919B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320940</xdr:colOff>
      <xdr:row>31</xdr:row>
      <xdr:rowOff>17728</xdr:rowOff>
    </xdr:from>
    <xdr:to>
      <xdr:col>4</xdr:col>
      <xdr:colOff>1330589</xdr:colOff>
      <xdr:row>35</xdr:row>
      <xdr:rowOff>27444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355AFA-72F5-4F15-ABBA-BD0BD00DCE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7990" y="7732978"/>
          <a:ext cx="1009649" cy="743141"/>
        </a:xfrm>
        <a:prstGeom prst="rect">
          <a:avLst/>
        </a:prstGeom>
      </xdr:spPr>
    </xdr:pic>
    <xdr:clientData/>
  </xdr:twoCellAnchor>
  <xdr:oneCellAnchor>
    <xdr:from>
      <xdr:col>1</xdr:col>
      <xdr:colOff>762000</xdr:colOff>
      <xdr:row>27</xdr:row>
      <xdr:rowOff>38100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740A6E4-22F4-4D26-8CF0-02B5BB2F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7296150"/>
          <a:ext cx="1466850" cy="1217794"/>
        </a:xfrm>
        <a:prstGeom prst="rect">
          <a:avLst/>
        </a:prstGeom>
      </xdr:spPr>
    </xdr:pic>
    <xdr:clientData/>
  </xdr:one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F3442E-D446-42F4-B0C0-7E55CFBEC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42B131-C052-4995-B067-6E1ED32A3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30</xdr:row>
      <xdr:rowOff>58087</xdr:rowOff>
    </xdr:from>
    <xdr:to>
      <xdr:col>4</xdr:col>
      <xdr:colOff>204583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B682998-F42C-4989-A205-FE3E3814C0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7602" y="752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867D79-202C-4603-9569-A76E929E4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324642</xdr:colOff>
      <xdr:row>31</xdr:row>
      <xdr:rowOff>43922</xdr:rowOff>
    </xdr:from>
    <xdr:to>
      <xdr:col>4</xdr:col>
      <xdr:colOff>1334291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5EAF81-AF6A-477F-A255-6073E89C18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5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DA1B68-4CE7-4FFF-AC8A-3F4096808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790F437-5498-4AC8-8DB3-0BD972C18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2084" y="80433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058B923-BC10-4E03-91D8-44E5FD17A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3249" y="8815899"/>
          <a:ext cx="1484942" cy="836100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56D046-7990-4D9E-862A-CDABC335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C7B78AC-495E-4374-9214-45DF8330E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846437</xdr:colOff>
      <xdr:row>37</xdr:row>
      <xdr:rowOff>47504</xdr:rowOff>
    </xdr:from>
    <xdr:to>
      <xdr:col>4</xdr:col>
      <xdr:colOff>225751</xdr:colOff>
      <xdr:row>42</xdr:row>
      <xdr:rowOff>200399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D7C405-1CE5-4823-9840-9B11D72285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0" y="8789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068526-7CC0-436E-92D5-EBB75F34B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250558</xdr:colOff>
      <xdr:row>31</xdr:row>
      <xdr:rowOff>43922</xdr:rowOff>
    </xdr:from>
    <xdr:to>
      <xdr:col>4</xdr:col>
      <xdr:colOff>1260207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5E7D8C-F20C-49B7-980C-76075C9B46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1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CF5E635-080D-433D-B6C9-9B8F56A33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</xdr:col>
      <xdr:colOff>613833</xdr:colOff>
      <xdr:row>46</xdr:row>
      <xdr:rowOff>137584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DF4CF04-0519-455E-80C1-A1F90F5DE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166" y="105727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380999</xdr:colOff>
      <xdr:row>34</xdr:row>
      <xdr:rowOff>63483</xdr:rowOff>
    </xdr:from>
    <xdr:to>
      <xdr:col>13</xdr:col>
      <xdr:colOff>172608</xdr:colOff>
      <xdr:row>38</xdr:row>
      <xdr:rowOff>179916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7AF9AF8-399C-4FFA-8A18-47049C554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499" y="8265566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D66B21-1EEE-4396-AF38-C9951F34B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43732C-10AE-4682-A02F-8FBB0E1B7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167005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E21A140-AB94-46D8-B404-5D6C133B1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5283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167005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F9D4F8-5207-4C28-8FB5-6EB4218C8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52830"/>
        </a:xfrm>
        <a:prstGeom prst="rect">
          <a:avLst/>
        </a:prstGeom>
      </xdr:spPr>
    </xdr:pic>
    <xdr:clientData/>
  </xdr:twoCellAnchor>
  <xdr:oneCellAnchor>
    <xdr:from>
      <xdr:col>1</xdr:col>
      <xdr:colOff>899584</xdr:colOff>
      <xdr:row>27</xdr:row>
      <xdr:rowOff>0</xdr:rowOff>
    </xdr:from>
    <xdr:ext cx="1606220" cy="1333500"/>
    <xdr:pic>
      <xdr:nvPicPr>
        <xdr:cNvPr id="14" name="Picture 13">
          <a:extLst>
            <a:ext uri="{FF2B5EF4-FFF2-40B4-BE49-F238E27FC236}">
              <a16:creationId xmlns:a16="http://schemas.microsoft.com/office/drawing/2014/main" id="{D68FA1DF-E4E7-4C05-BBEA-97563FF0D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917" y="7186083"/>
          <a:ext cx="1606220" cy="1333500"/>
        </a:xfrm>
        <a:prstGeom prst="rect">
          <a:avLst/>
        </a:prstGeom>
      </xdr:spPr>
    </xdr:pic>
    <xdr:clientData/>
  </xdr:one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3D054D0-8C01-4E61-9DC2-D92C671F8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15AE83-F270-4016-BE02-B2A285E24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772353</xdr:colOff>
      <xdr:row>40</xdr:row>
      <xdr:rowOff>26338</xdr:rowOff>
    </xdr:from>
    <xdr:to>
      <xdr:col>4</xdr:col>
      <xdr:colOff>151667</xdr:colOff>
      <xdr:row>45</xdr:row>
      <xdr:rowOff>179233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D57D3F6-07C7-424B-9157-4324D5E13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4686" y="10535588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32</xdr:row>
      <xdr:rowOff>165940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265123-BA7F-461A-B78F-CB131D52A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34</xdr:row>
      <xdr:rowOff>1589</xdr:rowOff>
    </xdr:from>
    <xdr:to>
      <xdr:col>4</xdr:col>
      <xdr:colOff>1334290</xdr:colOff>
      <xdr:row>38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191D050-C61B-4C68-818B-0770CECA33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4" y="942075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2573C85-4F57-47B8-91B9-7FCBD6A26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38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9F645075-1B42-45C0-9504-5F4970DBA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418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</xdr:colOff>
      <xdr:row>0</xdr:row>
      <xdr:rowOff>201083</xdr:rowOff>
    </xdr:from>
    <xdr:to>
      <xdr:col>14</xdr:col>
      <xdr:colOff>332316</xdr:colOff>
      <xdr:row>12</xdr:row>
      <xdr:rowOff>38100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29C3E94-A666-EE9B-F1D6-41CFA5062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1083" y="201083"/>
          <a:ext cx="3105150" cy="33718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</xdr:row>
      <xdr:rowOff>0</xdr:rowOff>
    </xdr:from>
    <xdr:to>
      <xdr:col>15</xdr:col>
      <xdr:colOff>758264</xdr:colOff>
      <xdr:row>18</xdr:row>
      <xdr:rowOff>211866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B33F65-6A5A-43A7-150D-A57BE60A4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63000" y="3778250"/>
          <a:ext cx="3562847" cy="142894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167005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91323CB-524D-4D95-B247-267C8EE96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167005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5FBEDC7-DC14-4D79-A6BB-4C76A88B7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38</xdr:row>
      <xdr:rowOff>118099</xdr:rowOff>
    </xdr:from>
    <xdr:to>
      <xdr:col>14</xdr:col>
      <xdr:colOff>280598</xdr:colOff>
      <xdr:row>44</xdr:row>
      <xdr:rowOff>88080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51E2559-0DBC-4F73-B9D2-2D4A35354E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7608" y="10267516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42</xdr:row>
      <xdr:rowOff>105834</xdr:rowOff>
    </xdr:from>
    <xdr:to>
      <xdr:col>12</xdr:col>
      <xdr:colOff>710141</xdr:colOff>
      <xdr:row>46</xdr:row>
      <xdr:rowOff>48876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82F08C-1124-49E8-89CB-07A2C1358A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63492" y="10974917"/>
          <a:ext cx="1009649" cy="726208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29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85DB0082-A858-4BB0-859F-D05417A66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8921750"/>
          <a:ext cx="1606220" cy="1333500"/>
        </a:xfrm>
        <a:prstGeom prst="rect">
          <a:avLst/>
        </a:prstGeom>
      </xdr:spPr>
    </xdr:pic>
    <xdr:clientData/>
  </xdr:one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608E4CC-681B-41CB-9967-F517DED3D1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30</xdr:row>
      <xdr:rowOff>76822</xdr:rowOff>
    </xdr:from>
    <xdr:to>
      <xdr:col>4</xdr:col>
      <xdr:colOff>143016</xdr:colOff>
      <xdr:row>36</xdr:row>
      <xdr:rowOff>83843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8D9945-3946-47EE-B0BF-B214C5A588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7548655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340783</xdr:colOff>
      <xdr:row>31</xdr:row>
      <xdr:rowOff>110069</xdr:rowOff>
    </xdr:from>
    <xdr:to>
      <xdr:col>4</xdr:col>
      <xdr:colOff>1350432</xdr:colOff>
      <xdr:row>35</xdr:row>
      <xdr:rowOff>116610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D98DF1-1987-462A-AA5F-83A6DEA852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3" y="77618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47D631-2FCE-4A30-8005-30334E091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6A7C8BC-F939-4756-8101-605BB1370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0CCEAF6A-C0E6-4151-81E7-60F6CB295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082" y="10159999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179917</xdr:colOff>
      <xdr:row>0</xdr:row>
      <xdr:rowOff>889000</xdr:rowOff>
    </xdr:from>
    <xdr:to>
      <xdr:col>14</xdr:col>
      <xdr:colOff>768768</xdr:colOff>
      <xdr:row>21</xdr:row>
      <xdr:rowOff>108573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590D03A-C03A-4048-A99D-A00353066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8467" y="889000"/>
          <a:ext cx="3894026" cy="4991723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4693AD2-A82A-450C-A84C-2407354BE3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716442</xdr:colOff>
      <xdr:row>37</xdr:row>
      <xdr:rowOff>34490</xdr:rowOff>
    </xdr:from>
    <xdr:to>
      <xdr:col>4</xdr:col>
      <xdr:colOff>195932</xdr:colOff>
      <xdr:row>42</xdr:row>
      <xdr:rowOff>189678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505D2C-DDAD-4CE8-A905-2ACCE4EB4A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8775" y="8776323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16E27C-6C35-4506-99EA-82C87E2C38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6983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8C1161-8596-4A1D-9067-26CFCF57F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69B0E5-FEAA-4466-AD28-42520B7ED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DA2D6BF-3D6D-49D6-AC45-BDDC2C83A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179917</xdr:colOff>
      <xdr:row>0</xdr:row>
      <xdr:rowOff>889000</xdr:rowOff>
    </xdr:from>
    <xdr:to>
      <xdr:col>14</xdr:col>
      <xdr:colOff>768768</xdr:colOff>
      <xdr:row>21</xdr:row>
      <xdr:rowOff>108573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F0861D8-8D93-2E07-EDFB-C404839AE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41167" y="889000"/>
          <a:ext cx="3901434" cy="4945156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2E524BE-3EE3-4BAA-8CE2-C1B0547F07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754011</xdr:colOff>
      <xdr:row>37</xdr:row>
      <xdr:rowOff>58042</xdr:rowOff>
    </xdr:from>
    <xdr:to>
      <xdr:col>4</xdr:col>
      <xdr:colOff>233501</xdr:colOff>
      <xdr:row>43</xdr:row>
      <xdr:rowOff>12147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2EF14F-37FD-46E2-A414-42DCE07B9B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9730" y="8880573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302420</xdr:colOff>
      <xdr:row>31</xdr:row>
      <xdr:rowOff>28573</xdr:rowOff>
    </xdr:from>
    <xdr:to>
      <xdr:col>4</xdr:col>
      <xdr:colOff>1312069</xdr:colOff>
      <xdr:row>35</xdr:row>
      <xdr:rowOff>36815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FAB237-F1EE-4BD7-8F6C-2FEBEA290E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67636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B2727A0B-9E79-4F56-8DF5-902544C5B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119062</xdr:colOff>
      <xdr:row>1</xdr:row>
      <xdr:rowOff>166688</xdr:rowOff>
    </xdr:from>
    <xdr:to>
      <xdr:col>17</xdr:col>
      <xdr:colOff>286441</xdr:colOff>
      <xdr:row>21</xdr:row>
      <xdr:rowOff>651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28A313-67B0-4C99-921E-D91082890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5262" y="1119188"/>
          <a:ext cx="4948929" cy="4653613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59A4324-E177-41B0-865C-0AB766EDC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10415</xdr:rowOff>
    </xdr:from>
    <xdr:to>
      <xdr:col>4</xdr:col>
      <xdr:colOff>185876</xdr:colOff>
      <xdr:row>42</xdr:row>
      <xdr:rowOff>166926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26748D-7998-49B2-B13B-A42B99069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32946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326233</xdr:colOff>
      <xdr:row>31</xdr:row>
      <xdr:rowOff>76199</xdr:rowOff>
    </xdr:from>
    <xdr:to>
      <xdr:col>4</xdr:col>
      <xdr:colOff>1335882</xdr:colOff>
      <xdr:row>35</xdr:row>
      <xdr:rowOff>84441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536D4B-4FDD-4777-9C98-E55B3DDE66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6139" y="7815262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509EB42B-0982-442D-A82D-D108FBCAA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User\Documents\NBI\RS,PO,Deposit,2307\Requisition%20Slip\SYSTEM\2023%20Davao%20Requisition%20Slip.xlsm" TargetMode="External"/><Relationship Id="rId1" Type="http://schemas.openxmlformats.org/officeDocument/2006/relationships/externalLinkPath" Target="/Users/User/Documents/NBI/RS,PO,Deposit,2307/Requisition%20Slip/SYSTEM/2023%20Davao%20Requisition%20Slip.xlsm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yie\request%20file\MAYIE%20FILES_MAINTENANCE\MAYIE\excel%20file\PAYABLES_MAINTENANCE%20per%20SUPPLIER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244"/>
      <sheetName val="243"/>
      <sheetName val="242"/>
      <sheetName val="241"/>
      <sheetName val="240"/>
      <sheetName val="239"/>
      <sheetName val="238"/>
      <sheetName val="237"/>
      <sheetName val="236"/>
      <sheetName val="235"/>
      <sheetName val="234"/>
      <sheetName val="233"/>
      <sheetName val="232"/>
      <sheetName val="231"/>
      <sheetName val="230"/>
      <sheetName val="229"/>
      <sheetName val="228"/>
      <sheetName val="227"/>
      <sheetName val="226"/>
      <sheetName val="225"/>
      <sheetName val="224"/>
      <sheetName val="223"/>
      <sheetName val="222"/>
      <sheetName val="221"/>
      <sheetName val="220"/>
      <sheetName val="219"/>
      <sheetName val="218"/>
      <sheetName val="217"/>
      <sheetName val="216"/>
      <sheetName val="215"/>
      <sheetName val="214"/>
      <sheetName val="213"/>
      <sheetName val="212"/>
      <sheetName val="211"/>
      <sheetName val="210"/>
      <sheetName val="209"/>
      <sheetName val="208"/>
      <sheetName val="207"/>
      <sheetName val="206"/>
      <sheetName val="205"/>
      <sheetName val="204"/>
      <sheetName val="203"/>
      <sheetName val="202"/>
      <sheetName val="201"/>
      <sheetName val="200"/>
      <sheetName val="199"/>
      <sheetName val="198"/>
      <sheetName val="197"/>
      <sheetName val="196"/>
      <sheetName val="195"/>
      <sheetName val="194"/>
      <sheetName val="193"/>
      <sheetName val="192"/>
      <sheetName val="191"/>
      <sheetName val="190"/>
      <sheetName val="189"/>
      <sheetName val="188"/>
      <sheetName val="187"/>
      <sheetName val="186"/>
      <sheetName val="185"/>
      <sheetName val="184"/>
      <sheetName val="183"/>
      <sheetName val="182"/>
      <sheetName val="181"/>
      <sheetName val="180"/>
      <sheetName val="179"/>
      <sheetName val="178"/>
      <sheetName val="177"/>
      <sheetName val="176"/>
      <sheetName val="175"/>
      <sheetName val="174"/>
      <sheetName val="173"/>
      <sheetName val="172"/>
      <sheetName val="171"/>
      <sheetName val="170"/>
      <sheetName val="169"/>
      <sheetName val="168"/>
      <sheetName val="167"/>
      <sheetName val="166"/>
      <sheetName val="165"/>
      <sheetName val="164"/>
      <sheetName val="163"/>
      <sheetName val="162"/>
      <sheetName val="161"/>
      <sheetName val="160"/>
      <sheetName val="159"/>
      <sheetName val="158"/>
      <sheetName val="157"/>
      <sheetName val="156"/>
      <sheetName val="155"/>
      <sheetName val="154"/>
      <sheetName val="153"/>
      <sheetName val="152"/>
      <sheetName val="151"/>
      <sheetName val="150"/>
      <sheetName val="149"/>
      <sheetName val="148"/>
      <sheetName val="147"/>
      <sheetName val="146"/>
      <sheetName val="145"/>
      <sheetName val="144"/>
      <sheetName val="143"/>
      <sheetName val="142"/>
      <sheetName val="141"/>
      <sheetName val="140"/>
      <sheetName val="139"/>
      <sheetName val="138"/>
      <sheetName val="137"/>
      <sheetName val="136"/>
      <sheetName val="135"/>
      <sheetName val="134"/>
      <sheetName val="133"/>
      <sheetName val="132"/>
      <sheetName val="131"/>
      <sheetName val="130"/>
      <sheetName val="129"/>
      <sheetName val="128"/>
      <sheetName val="127"/>
      <sheetName val="126"/>
      <sheetName val="125"/>
      <sheetName val="124"/>
      <sheetName val="123"/>
      <sheetName val="122"/>
      <sheetName val="121"/>
      <sheetName val="120"/>
      <sheetName val="119"/>
      <sheetName val="118"/>
      <sheetName val="117"/>
      <sheetName val="116"/>
      <sheetName val="115"/>
      <sheetName val="114"/>
      <sheetName val="113"/>
      <sheetName val="112"/>
      <sheetName val="111"/>
      <sheetName val="110"/>
      <sheetName val="109"/>
      <sheetName val="108"/>
      <sheetName val="107"/>
      <sheetName val="106"/>
      <sheetName val="105"/>
      <sheetName val="104"/>
      <sheetName val="103"/>
      <sheetName val="102"/>
      <sheetName val="101"/>
      <sheetName val="100"/>
      <sheetName val="099"/>
      <sheetName val="098"/>
      <sheetName val="097"/>
      <sheetName val="096"/>
      <sheetName val="095"/>
      <sheetName val="094"/>
      <sheetName val="093"/>
      <sheetName val="092"/>
      <sheetName val="091"/>
      <sheetName val="090"/>
      <sheetName val="089"/>
      <sheetName val="088"/>
      <sheetName val="087"/>
      <sheetName val="086"/>
      <sheetName val="085"/>
      <sheetName val="084"/>
      <sheetName val="083"/>
      <sheetName val="082"/>
      <sheetName val="081"/>
      <sheetName val="080"/>
      <sheetName val="079"/>
      <sheetName val="078"/>
      <sheetName val="077"/>
      <sheetName val="076"/>
      <sheetName val="075"/>
      <sheetName val="074"/>
      <sheetName val="073"/>
      <sheetName val="072"/>
      <sheetName val="071"/>
      <sheetName val="070"/>
      <sheetName val="069"/>
      <sheetName val="068"/>
      <sheetName val="067"/>
      <sheetName val="066"/>
      <sheetName val="065"/>
      <sheetName val="064"/>
      <sheetName val="063"/>
      <sheetName val="062"/>
      <sheetName val="061"/>
      <sheetName val="060"/>
      <sheetName val="059"/>
      <sheetName val="058"/>
      <sheetName val="057"/>
      <sheetName val="056"/>
      <sheetName val="055"/>
      <sheetName val="054"/>
      <sheetName val="053"/>
      <sheetName val="052"/>
      <sheetName val="051"/>
      <sheetName val="050"/>
      <sheetName val="049"/>
      <sheetName val="048"/>
      <sheetName val="047"/>
      <sheetName val="046"/>
      <sheetName val="045"/>
      <sheetName val="044"/>
      <sheetName val="043"/>
      <sheetName val="042"/>
      <sheetName val="041"/>
      <sheetName val="040"/>
      <sheetName val="039"/>
      <sheetName val="038"/>
      <sheetName val="037"/>
      <sheetName val="036"/>
      <sheetName val="035"/>
      <sheetName val="034"/>
      <sheetName val="033"/>
      <sheetName val="032"/>
      <sheetName val="031"/>
      <sheetName val="030"/>
      <sheetName val="029"/>
      <sheetName val="028"/>
      <sheetName val="027"/>
      <sheetName val="026"/>
      <sheetName val="025"/>
      <sheetName val="024"/>
      <sheetName val="023"/>
      <sheetName val="022"/>
      <sheetName val="021"/>
      <sheetName val="020"/>
      <sheetName val="019"/>
      <sheetName val="018"/>
      <sheetName val="017"/>
      <sheetName val="016"/>
      <sheetName val="015"/>
      <sheetName val="014"/>
      <sheetName val="013"/>
      <sheetName val="012"/>
      <sheetName val="011"/>
      <sheetName val="010"/>
      <sheetName val="009"/>
      <sheetName val="008"/>
      <sheetName val="007"/>
      <sheetName val="006"/>
      <sheetName val="005"/>
      <sheetName val="004"/>
      <sheetName val="003"/>
      <sheetName val="002"/>
      <sheetName val="0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>
        <row r="11">
          <cell r="B11">
            <v>2</v>
          </cell>
          <cell r="C11" t="str">
            <v>pc/s</v>
          </cell>
          <cell r="D11" t="str">
            <v>Battery 3SM Motolite Gold</v>
          </cell>
        </row>
        <row r="34">
          <cell r="C34" t="str">
            <v>Engr. Ramon Sandil</v>
          </cell>
          <cell r="J34" t="str">
            <v>MC Villabroza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LL PALAWAN ISSUED"/>
      <sheetName val="ALL PALAWAN ISSUED CBPP"/>
      <sheetName val="ALL PALAWAN ISSUED CBPP (2)"/>
      <sheetName val="SW-Petron"/>
      <sheetName val="SW-TOTAL"/>
      <sheetName val="Sheet3"/>
      <sheetName val="PAL CARGO"/>
      <sheetName val="Sheet1 (2)"/>
      <sheetName val="PHILTOUGH"/>
      <sheetName val="JERSON"/>
      <sheetName val="WIRTGEN "/>
      <sheetName val="WIRTGEN2 "/>
      <sheetName val="MEYNARD"/>
      <sheetName val="MAERSK LINE DETENTION PAYABLES"/>
      <sheetName val="HH ALL"/>
      <sheetName val="EDITED"/>
      <sheetName val="JEPEE"/>
      <sheetName val="MERIDIAN"/>
      <sheetName val="Sheet5"/>
      <sheetName val="HRM"/>
      <sheetName val="WIRTGEN (2)"/>
      <sheetName val="WIRTGEN"/>
      <sheetName val="F &amp; E"/>
      <sheetName val="WESTERN"/>
      <sheetName val="PPAS"/>
      <sheetName val="PRENTICE"/>
      <sheetName val="MIDTOWN"/>
      <sheetName val="GMG"/>
      <sheetName val="MORETA"/>
      <sheetName val="Sheet1"/>
      <sheetName val="PAYMENT DATE"/>
      <sheetName val="RECON"/>
      <sheetName val="PETRON CORP"/>
      <sheetName val="Inframachineries"/>
      <sheetName val="Sheet4"/>
      <sheetName val="JENCEL"/>
      <sheetName val="Avantgarde"/>
      <sheetName val="ARES GERALD"/>
      <sheetName val="GOMA VULCANIZING"/>
      <sheetName val="DENNIS TOOL"/>
      <sheetName val="SLICK SILER"/>
      <sheetName val="LEA VULCANISING"/>
      <sheetName val="GOLDEN WHEEL"/>
      <sheetName val="SINOEQUIP"/>
      <sheetName val="TOPLINE"/>
      <sheetName val="CBPP"/>
      <sheetName val="MJ"/>
      <sheetName val="PRIMEQUEST"/>
      <sheetName val="BRIGHTON"/>
      <sheetName val="Doods"/>
      <sheetName val="UNICO"/>
      <sheetName val="Dikee boy"/>
      <sheetName val="MEGACOM"/>
      <sheetName val="Anonas"/>
      <sheetName val="FAST TECH"/>
      <sheetName val="BALINTAWAK"/>
      <sheetName val="CESAR "/>
      <sheetName val="A3"/>
      <sheetName val="ZAB"/>
      <sheetName val="ASCRETE"/>
      <sheetName val="INTERBATCH"/>
      <sheetName val="New Colossal"/>
      <sheetName val="New iloilo"/>
      <sheetName val="HONG CHIU"/>
      <sheetName val="FITZGERALD"/>
      <sheetName val="Tri-star"/>
      <sheetName val="Lubritek"/>
      <sheetName val="FGN"/>
      <sheetName val="Solid Gas"/>
      <sheetName val="LINDE"/>
      <sheetName val="LJB"/>
      <sheetName val="Highland"/>
      <sheetName val="GDR "/>
      <sheetName val="Goodmorning"/>
      <sheetName val="Primar"/>
      <sheetName val="Jefkinah"/>
      <sheetName val="Melchor"/>
      <sheetName val="Sky world"/>
      <sheetName val="JOhn Carl"/>
      <sheetName val="Lipa Isuzu"/>
      <sheetName val="CL Nerpiol"/>
      <sheetName val="Doxa"/>
      <sheetName val="Maxima"/>
      <sheetName val="Civic (2)"/>
      <sheetName val="Civic"/>
      <sheetName val="SEVERO"/>
      <sheetName val="Lubri Chem"/>
      <sheetName val="D'Lucky"/>
      <sheetName val="Taiyang"/>
      <sheetName val="Far Eastern"/>
      <sheetName val="Sheet2"/>
      <sheetName val="PETRON CORP (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>
        <row r="25">
          <cell r="D25" t="str">
            <v>RS15-010040</v>
          </cell>
        </row>
      </sheetData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1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2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4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5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6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7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8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9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0.xml"/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1.xml"/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2.xml"/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3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4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5.xml"/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6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7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8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9.xml"/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0.xml"/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1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2.xml"/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3.xml"/><Relationship Id="rId1" Type="http://schemas.openxmlformats.org/officeDocument/2006/relationships/printerSettings" Target="../printerSettings/printerSettings143.bin"/></Relationships>
</file>

<file path=xl/worksheets/_rels/sheet1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4.xml"/><Relationship Id="rId1" Type="http://schemas.openxmlformats.org/officeDocument/2006/relationships/printerSettings" Target="../printerSettings/printerSettings144.bin"/></Relationships>
</file>

<file path=xl/worksheets/_rels/sheet1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5.xml"/><Relationship Id="rId1" Type="http://schemas.openxmlformats.org/officeDocument/2006/relationships/printerSettings" Target="../printerSettings/printerSettings145.bin"/></Relationships>
</file>

<file path=xl/worksheets/_rels/sheet1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6.xml"/><Relationship Id="rId1" Type="http://schemas.openxmlformats.org/officeDocument/2006/relationships/printerSettings" Target="../printerSettings/printerSettings146.bin"/></Relationships>
</file>

<file path=xl/worksheets/_rels/sheet1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7.xml"/><Relationship Id="rId1" Type="http://schemas.openxmlformats.org/officeDocument/2006/relationships/printerSettings" Target="../printerSettings/printerSettings147.bin"/></Relationships>
</file>

<file path=xl/worksheets/_rels/sheet1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8.xml"/><Relationship Id="rId1" Type="http://schemas.openxmlformats.org/officeDocument/2006/relationships/printerSettings" Target="../printerSettings/printerSettings148.bin"/></Relationships>
</file>

<file path=xl/worksheets/_rels/sheet1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9.xml"/><Relationship Id="rId1" Type="http://schemas.openxmlformats.org/officeDocument/2006/relationships/printerSettings" Target="../printerSettings/printerSettings14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0.xml"/><Relationship Id="rId1" Type="http://schemas.openxmlformats.org/officeDocument/2006/relationships/printerSettings" Target="../printerSettings/printerSettings150.bin"/></Relationships>
</file>

<file path=xl/worksheets/_rels/sheet1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1.xml"/><Relationship Id="rId1" Type="http://schemas.openxmlformats.org/officeDocument/2006/relationships/printerSettings" Target="../printerSettings/printerSettings151.bin"/></Relationships>
</file>

<file path=xl/worksheets/_rels/sheet1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2.xml"/><Relationship Id="rId1" Type="http://schemas.openxmlformats.org/officeDocument/2006/relationships/printerSettings" Target="../printerSettings/printerSettings152.bin"/></Relationships>
</file>

<file path=xl/worksheets/_rels/sheet1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3.xml"/><Relationship Id="rId1" Type="http://schemas.openxmlformats.org/officeDocument/2006/relationships/printerSettings" Target="../printerSettings/printerSettings153.bin"/></Relationships>
</file>

<file path=xl/worksheets/_rels/sheet1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4.xml"/><Relationship Id="rId1" Type="http://schemas.openxmlformats.org/officeDocument/2006/relationships/printerSettings" Target="../printerSettings/printerSettings154.bin"/></Relationships>
</file>

<file path=xl/worksheets/_rels/sheet1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5.xml"/><Relationship Id="rId1" Type="http://schemas.openxmlformats.org/officeDocument/2006/relationships/printerSettings" Target="../printerSettings/printerSettings155.bin"/></Relationships>
</file>

<file path=xl/worksheets/_rels/sheet1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6.xml"/><Relationship Id="rId1" Type="http://schemas.openxmlformats.org/officeDocument/2006/relationships/printerSettings" Target="../printerSettings/printerSettings156.bin"/></Relationships>
</file>

<file path=xl/worksheets/_rels/sheet1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7.xml"/><Relationship Id="rId1" Type="http://schemas.openxmlformats.org/officeDocument/2006/relationships/printerSettings" Target="../printerSettings/printerSettings157.bin"/></Relationships>
</file>

<file path=xl/worksheets/_rels/sheet1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8.xml"/><Relationship Id="rId1" Type="http://schemas.openxmlformats.org/officeDocument/2006/relationships/printerSettings" Target="../printerSettings/printerSettings158.bin"/></Relationships>
</file>

<file path=xl/worksheets/_rels/sheet1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9.xml"/><Relationship Id="rId1" Type="http://schemas.openxmlformats.org/officeDocument/2006/relationships/printerSettings" Target="../printerSettings/printerSettings15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0.xml"/><Relationship Id="rId1" Type="http://schemas.openxmlformats.org/officeDocument/2006/relationships/printerSettings" Target="../printerSettings/printerSettings160.bin"/></Relationships>
</file>

<file path=xl/worksheets/_rels/sheet1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1.xml"/><Relationship Id="rId1" Type="http://schemas.openxmlformats.org/officeDocument/2006/relationships/printerSettings" Target="../printerSettings/printerSettings161.bin"/></Relationships>
</file>

<file path=xl/worksheets/_rels/sheet1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2.xml"/><Relationship Id="rId1" Type="http://schemas.openxmlformats.org/officeDocument/2006/relationships/printerSettings" Target="../printerSettings/printerSettings162.bin"/></Relationships>
</file>

<file path=xl/worksheets/_rels/sheet1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3.xml"/><Relationship Id="rId1" Type="http://schemas.openxmlformats.org/officeDocument/2006/relationships/printerSettings" Target="../printerSettings/printerSettings163.bin"/></Relationships>
</file>

<file path=xl/worksheets/_rels/sheet1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4.xml"/><Relationship Id="rId1" Type="http://schemas.openxmlformats.org/officeDocument/2006/relationships/printerSettings" Target="../printerSettings/printerSettings164.bin"/></Relationships>
</file>

<file path=xl/worksheets/_rels/sheet1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5.xml"/><Relationship Id="rId1" Type="http://schemas.openxmlformats.org/officeDocument/2006/relationships/printerSettings" Target="../printerSettings/printerSettings165.bin"/></Relationships>
</file>

<file path=xl/worksheets/_rels/sheet1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6.xml"/><Relationship Id="rId1" Type="http://schemas.openxmlformats.org/officeDocument/2006/relationships/printerSettings" Target="../printerSettings/printerSettings166.bin"/></Relationships>
</file>

<file path=xl/worksheets/_rels/sheet1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7.xml"/><Relationship Id="rId1" Type="http://schemas.openxmlformats.org/officeDocument/2006/relationships/printerSettings" Target="../printerSettings/printerSettings167.bin"/></Relationships>
</file>

<file path=xl/worksheets/_rels/sheet1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8.xml"/><Relationship Id="rId1" Type="http://schemas.openxmlformats.org/officeDocument/2006/relationships/printerSettings" Target="../printerSettings/printerSettings168.bin"/></Relationships>
</file>

<file path=xl/worksheets/_rels/sheet1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9.xml"/><Relationship Id="rId1" Type="http://schemas.openxmlformats.org/officeDocument/2006/relationships/printerSettings" Target="../printerSettings/printerSettings169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0.xml"/><Relationship Id="rId1" Type="http://schemas.openxmlformats.org/officeDocument/2006/relationships/printerSettings" Target="../printerSettings/printerSettings170.bin"/></Relationships>
</file>

<file path=xl/worksheets/_rels/sheet1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1.xml"/><Relationship Id="rId1" Type="http://schemas.openxmlformats.org/officeDocument/2006/relationships/printerSettings" Target="../printerSettings/printerSettings171.bin"/></Relationships>
</file>

<file path=xl/worksheets/_rels/sheet1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2.xml"/><Relationship Id="rId1" Type="http://schemas.openxmlformats.org/officeDocument/2006/relationships/printerSettings" Target="../printerSettings/printerSettings172.bin"/></Relationships>
</file>

<file path=xl/worksheets/_rels/sheet1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3.xml"/><Relationship Id="rId1" Type="http://schemas.openxmlformats.org/officeDocument/2006/relationships/printerSettings" Target="../printerSettings/printerSettings173.bin"/></Relationships>
</file>

<file path=xl/worksheets/_rels/sheet1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4.xml"/><Relationship Id="rId1" Type="http://schemas.openxmlformats.org/officeDocument/2006/relationships/printerSettings" Target="../printerSettings/printerSettings174.bin"/></Relationships>
</file>

<file path=xl/worksheets/_rels/sheet1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5.xml"/><Relationship Id="rId1" Type="http://schemas.openxmlformats.org/officeDocument/2006/relationships/printerSettings" Target="../printerSettings/printerSettings175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0A50EA-E0BA-47C9-8126-46A3BDD05FF6}">
  <sheetPr>
    <tabColor rgb="FF00B0F0"/>
  </sheetPr>
  <dimension ref="A1:P45"/>
  <sheetViews>
    <sheetView tabSelected="1" view="pageBreakPreview" zoomScale="90" zoomScaleNormal="100" zoomScaleSheetLayoutView="90" workbookViewId="0">
      <selection activeCell="E18" sqref="E18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715</v>
      </c>
      <c r="D3" s="191"/>
      <c r="E3" s="191"/>
      <c r="F3" s="10" t="s">
        <v>3</v>
      </c>
      <c r="G3" s="10"/>
      <c r="H3" s="10"/>
      <c r="I3" s="10"/>
      <c r="J3" s="75">
        <v>217</v>
      </c>
      <c r="L3" s="4"/>
      <c r="O3" s="4"/>
    </row>
    <row r="4" spans="1:16" s="3" customFormat="1" ht="30" customHeight="1">
      <c r="B4" s="11" t="s">
        <v>5</v>
      </c>
      <c r="C4" s="12" t="s">
        <v>622</v>
      </c>
      <c r="D4" s="13"/>
      <c r="E4" s="13"/>
      <c r="F4" s="14" t="s">
        <v>6</v>
      </c>
      <c r="G4" s="15"/>
      <c r="H4" s="15"/>
      <c r="I4" s="15"/>
      <c r="J4" s="16">
        <v>45479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2</v>
      </c>
      <c r="C11" s="42" t="s">
        <v>31</v>
      </c>
      <c r="D11" s="98" t="s">
        <v>716</v>
      </c>
      <c r="E11" s="44"/>
      <c r="F11" s="45">
        <v>2499</v>
      </c>
      <c r="G11" s="46"/>
      <c r="H11" s="47"/>
      <c r="I11" s="48"/>
      <c r="J11" s="50">
        <f>F11*B11</f>
        <v>4998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147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4998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60CAA8-C8BA-455A-9C2A-8B24AAE18E48}">
  <sheetPr>
    <tabColor rgb="FF00B0F0"/>
  </sheetPr>
  <dimension ref="A1:P45"/>
  <sheetViews>
    <sheetView view="pageBreakPreview" zoomScale="90" zoomScaleNormal="100" zoomScaleSheetLayoutView="90" workbookViewId="0">
      <selection activeCell="D18" sqref="D18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639</v>
      </c>
      <c r="D3" s="187"/>
      <c r="E3" s="187"/>
      <c r="F3" s="10" t="s">
        <v>3</v>
      </c>
      <c r="G3" s="10"/>
      <c r="H3" s="10"/>
      <c r="I3" s="10"/>
      <c r="J3" s="75">
        <v>208</v>
      </c>
      <c r="L3" s="4"/>
      <c r="O3" s="4"/>
    </row>
    <row r="4" spans="1:16" s="3" customFormat="1" ht="30" customHeight="1">
      <c r="B4" s="11" t="s">
        <v>5</v>
      </c>
      <c r="C4" s="12" t="s">
        <v>640</v>
      </c>
      <c r="D4" s="13"/>
      <c r="E4" s="13"/>
      <c r="F4" s="14" t="s">
        <v>6</v>
      </c>
      <c r="G4" s="15"/>
      <c r="H4" s="15"/>
      <c r="I4" s="15"/>
      <c r="J4" s="16">
        <v>45467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f>84+26</f>
        <v>110</v>
      </c>
      <c r="C11" s="42" t="s">
        <v>641</v>
      </c>
      <c r="D11" s="43" t="s">
        <v>673</v>
      </c>
      <c r="E11" s="44"/>
      <c r="F11" s="45">
        <v>750</v>
      </c>
      <c r="G11" s="46"/>
      <c r="H11" s="47"/>
      <c r="I11" s="48"/>
      <c r="J11" s="50">
        <f>F11*B11</f>
        <v>82500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82500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19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AA73EC-292F-4DF1-8E65-0B22B02E2DF3}">
  <sheetPr codeName="Sheet53">
    <tabColor rgb="FFC0000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44</v>
      </c>
      <c r="D3" s="188"/>
      <c r="E3" s="188"/>
      <c r="F3" s="10" t="s">
        <v>3</v>
      </c>
      <c r="G3" s="10"/>
      <c r="H3" s="10"/>
      <c r="I3" s="10"/>
      <c r="J3" s="75">
        <v>118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329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AD457C-CA4A-40FE-BC17-06FC8CABDDC2}">
  <sheetPr codeName="Sheet54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52</v>
      </c>
      <c r="D3" s="188"/>
      <c r="E3" s="188"/>
      <c r="F3" s="10" t="s">
        <v>3</v>
      </c>
      <c r="G3" s="10"/>
      <c r="H3" s="10"/>
      <c r="I3" s="10"/>
      <c r="J3" s="75">
        <v>117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183" t="s">
        <v>54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255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328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208E01-7F40-41C5-9B3C-719C12B1D8C1}">
  <sheetPr codeName="Sheet5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36</v>
      </c>
      <c r="D3" s="188"/>
      <c r="E3" s="188"/>
      <c r="F3" s="10" t="s">
        <v>3</v>
      </c>
      <c r="G3" s="10"/>
      <c r="H3" s="10"/>
      <c r="I3" s="10"/>
      <c r="J3" s="75">
        <v>116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327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DABD97-AD8A-4587-A3C3-E8A188BF3CA5}">
  <sheetPr codeName="Sheet56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318</v>
      </c>
      <c r="D3" s="188"/>
      <c r="E3" s="188"/>
      <c r="F3" s="10" t="s">
        <v>3</v>
      </c>
      <c r="G3" s="10"/>
      <c r="H3" s="10"/>
      <c r="I3" s="10"/>
      <c r="J3" s="75">
        <v>115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326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13" t="s">
        <v>30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319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43" t="s">
        <v>320</v>
      </c>
      <c r="E12" s="44"/>
      <c r="F12" s="45"/>
      <c r="G12" s="76"/>
      <c r="H12" s="47"/>
      <c r="I12" s="48"/>
      <c r="J12" s="50">
        <v>10000</v>
      </c>
      <c r="L12" s="1"/>
      <c r="M12" s="1"/>
      <c r="N12" s="1"/>
      <c r="O12" s="4"/>
    </row>
    <row r="13" spans="1:16" s="3" customFormat="1" ht="20.100000000000001" customHeight="1">
      <c r="B13" s="41"/>
      <c r="C13" s="42"/>
      <c r="D13" s="43" t="s">
        <v>321</v>
      </c>
      <c r="E13" s="44"/>
      <c r="F13" s="45"/>
      <c r="G13" s="46"/>
      <c r="H13" s="47"/>
      <c r="I13" s="48"/>
      <c r="J13" s="50">
        <v>10000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 t="s">
        <v>322</v>
      </c>
      <c r="E14" s="44"/>
      <c r="F14" s="45"/>
      <c r="G14" s="46"/>
      <c r="H14" s="47"/>
      <c r="I14" s="48"/>
      <c r="J14" s="50">
        <v>10000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43" t="s">
        <v>323</v>
      </c>
      <c r="E15" s="44"/>
      <c r="F15" s="45"/>
      <c r="G15" s="46"/>
      <c r="H15" s="47"/>
      <c r="I15" s="48"/>
      <c r="J15" s="50">
        <v>10000</v>
      </c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 t="s">
        <v>324</v>
      </c>
      <c r="E16" s="44"/>
      <c r="F16" s="45"/>
      <c r="G16" s="46"/>
      <c r="H16" s="47"/>
      <c r="I16" s="48"/>
      <c r="J16" s="50">
        <v>10000</v>
      </c>
      <c r="M16" s="5"/>
      <c r="O16" s="4"/>
    </row>
    <row r="17" spans="2:16" s="3" customFormat="1" ht="20.100000000000001" customHeight="1">
      <c r="B17" s="41"/>
      <c r="C17" s="42"/>
      <c r="D17" s="43" t="s">
        <v>325</v>
      </c>
      <c r="E17" s="44"/>
      <c r="F17" s="45"/>
      <c r="G17" s="46"/>
      <c r="H17" s="47"/>
      <c r="I17" s="48"/>
      <c r="J17" s="50">
        <v>10000</v>
      </c>
      <c r="M17" s="5"/>
      <c r="N17" s="4"/>
      <c r="O17" s="4"/>
    </row>
    <row r="18" spans="2:16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>
        <f>88+118</f>
        <v>206</v>
      </c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6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6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60000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CBT Rev. 5-D 1/21/2024</oddFooter>
  </headerFooter>
  <colBreaks count="1" manualBreakCount="1">
    <brk id="10" max="38" man="1"/>
  </colBreaks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60D5D-DFC0-4803-A0F7-7CF5130DE09F}">
  <sheetPr codeName="Sheet57">
    <tabColor rgb="FF00B0F0"/>
  </sheetPr>
  <dimension ref="A1:P52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309</v>
      </c>
      <c r="D3" s="187"/>
      <c r="E3" s="187"/>
      <c r="F3" s="10" t="s">
        <v>3</v>
      </c>
      <c r="G3" s="10"/>
      <c r="H3" s="10"/>
      <c r="I3" s="10"/>
      <c r="J3" s="75">
        <v>114</v>
      </c>
      <c r="L3" s="4"/>
      <c r="O3" s="4"/>
    </row>
    <row r="4" spans="1:16" s="3" customFormat="1" ht="30" customHeight="1">
      <c r="B4" s="11" t="s">
        <v>5</v>
      </c>
      <c r="C4" s="12" t="s">
        <v>310</v>
      </c>
      <c r="D4" s="13"/>
      <c r="E4" s="13"/>
      <c r="F4" s="14" t="s">
        <v>6</v>
      </c>
      <c r="G4" s="15"/>
      <c r="H4" s="15"/>
      <c r="I4" s="15"/>
      <c r="J4" s="16">
        <v>45394</v>
      </c>
      <c r="L4" s="4"/>
      <c r="P4" s="4"/>
    </row>
    <row r="5" spans="1:16" s="3" customFormat="1" ht="30" customHeight="1">
      <c r="B5" s="11" t="s">
        <v>7</v>
      </c>
      <c r="C5" s="183" t="s">
        <v>317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311</v>
      </c>
      <c r="D11" s="98" t="s">
        <v>312</v>
      </c>
      <c r="E11" s="44"/>
      <c r="F11" s="45">
        <v>2600</v>
      </c>
      <c r="G11" s="46"/>
      <c r="H11" s="47"/>
      <c r="I11" s="48"/>
      <c r="J11" s="50">
        <f>F11*B11</f>
        <v>2600</v>
      </c>
      <c r="L11" s="4"/>
      <c r="M11" s="1"/>
      <c r="N11" s="1"/>
      <c r="O11" s="4"/>
    </row>
    <row r="12" spans="1:16" s="3" customFormat="1" ht="20.100000000000001" customHeight="1">
      <c r="B12" s="41">
        <v>1</v>
      </c>
      <c r="C12" s="42" t="s">
        <v>311</v>
      </c>
      <c r="D12" s="98" t="s">
        <v>313</v>
      </c>
      <c r="E12" s="44"/>
      <c r="F12" s="45">
        <v>8500</v>
      </c>
      <c r="G12" s="46"/>
      <c r="H12" s="47"/>
      <c r="I12" s="48"/>
      <c r="J12" s="50">
        <f>F12*B12</f>
        <v>8500</v>
      </c>
      <c r="L12" s="4"/>
      <c r="M12" s="1"/>
      <c r="N12" s="1"/>
      <c r="O12" s="4"/>
    </row>
    <row r="13" spans="1:16" s="3" customFormat="1" ht="20.100000000000001" customHeight="1">
      <c r="B13" s="41">
        <v>1</v>
      </c>
      <c r="C13" s="42" t="s">
        <v>137</v>
      </c>
      <c r="D13" s="43" t="s">
        <v>314</v>
      </c>
      <c r="E13" s="44"/>
      <c r="F13" s="45">
        <v>500</v>
      </c>
      <c r="G13" s="89"/>
      <c r="H13" s="47"/>
      <c r="I13" s="48"/>
      <c r="J13" s="50">
        <f>F13*B13</f>
        <v>500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50"/>
      <c r="L28" s="4"/>
      <c r="M28" s="5"/>
      <c r="O28" s="4"/>
    </row>
    <row r="29" spans="2:16" s="3" customFormat="1" ht="20.100000000000001" customHeight="1">
      <c r="B29" s="41"/>
      <c r="C29" s="42"/>
      <c r="D29" s="43"/>
      <c r="E29" s="44"/>
      <c r="F29" s="45"/>
      <c r="G29" s="46"/>
      <c r="H29" s="47"/>
      <c r="I29" s="48"/>
      <c r="J29" s="50"/>
      <c r="L29" s="4"/>
      <c r="M29" s="5"/>
      <c r="O29" s="4"/>
    </row>
    <row r="30" spans="2:16" s="3" customFormat="1" ht="20.100000000000001" customHeight="1">
      <c r="B30" s="41"/>
      <c r="C30" s="42"/>
      <c r="D30" s="43"/>
      <c r="E30" s="44"/>
      <c r="F30" s="45"/>
      <c r="G30" s="46"/>
      <c r="H30" s="47"/>
      <c r="I30" s="48"/>
      <c r="J30" s="50"/>
      <c r="L30" s="4"/>
      <c r="M30" s="5"/>
      <c r="O30" s="4"/>
    </row>
    <row r="31" spans="2:16" s="3" customFormat="1" ht="20.100000000000001" customHeight="1">
      <c r="B31" s="41"/>
      <c r="C31" s="42"/>
      <c r="D31" s="43"/>
      <c r="E31" s="44"/>
      <c r="F31" s="45"/>
      <c r="G31" s="46"/>
      <c r="H31" s="47"/>
      <c r="I31" s="48"/>
      <c r="J31" s="50"/>
      <c r="L31" s="4"/>
      <c r="M31" s="5"/>
      <c r="O31" s="4"/>
    </row>
    <row r="32" spans="2:16" s="3" customFormat="1" ht="20.100000000000001" customHeight="1">
      <c r="B32" s="41"/>
      <c r="C32" s="42"/>
      <c r="D32" s="43"/>
      <c r="E32" s="44"/>
      <c r="F32" s="45"/>
      <c r="G32" s="46"/>
      <c r="H32" s="47"/>
      <c r="I32" s="48"/>
      <c r="J32" s="61"/>
      <c r="L32" s="4"/>
      <c r="M32" s="5"/>
      <c r="O32" s="4"/>
    </row>
    <row r="33" spans="2:16" s="3" customFormat="1" ht="24" customHeight="1">
      <c r="B33" s="165"/>
      <c r="C33" s="167" t="s">
        <v>14</v>
      </c>
      <c r="D33" s="169" t="s">
        <v>315</v>
      </c>
      <c r="E33" s="170"/>
      <c r="F33" s="173" t="s">
        <v>15</v>
      </c>
      <c r="G33" s="174"/>
      <c r="H33" s="62"/>
      <c r="I33" s="62"/>
      <c r="J33" s="158">
        <f>SUM(J11:J32)</f>
        <v>11600</v>
      </c>
      <c r="K33" s="158"/>
      <c r="L33" s="189"/>
      <c r="M33" s="63"/>
      <c r="O33" s="4"/>
    </row>
    <row r="34" spans="2:16" s="3" customFormat="1" ht="19.5" customHeight="1">
      <c r="B34" s="166"/>
      <c r="C34" s="168"/>
      <c r="D34" s="171"/>
      <c r="E34" s="172"/>
      <c r="F34" s="175"/>
      <c r="G34" s="176"/>
      <c r="H34" s="62"/>
      <c r="I34" s="62"/>
      <c r="J34" s="159"/>
      <c r="K34" s="159"/>
      <c r="L34" s="190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8" t="s">
        <v>316</v>
      </c>
      <c r="D41" s="198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/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8" t="s">
        <v>21</v>
      </c>
      <c r="D48" s="198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60"/>
      <c r="C49" s="160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B1:F1"/>
    <mergeCell ref="G1:J1"/>
    <mergeCell ref="C3:E3"/>
    <mergeCell ref="C5:E5"/>
    <mergeCell ref="D9:E9"/>
    <mergeCell ref="F9:H9"/>
    <mergeCell ref="B49:C49"/>
    <mergeCell ref="D10:E10"/>
    <mergeCell ref="F10:G10"/>
    <mergeCell ref="B33:B34"/>
    <mergeCell ref="C33:C34"/>
    <mergeCell ref="D33:E34"/>
    <mergeCell ref="F33:G34"/>
    <mergeCell ref="J33:J34"/>
    <mergeCell ref="K33:K34"/>
    <mergeCell ref="L33:L34"/>
    <mergeCell ref="C41:D41"/>
    <mergeCell ref="C48:D48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E0B2EE-4CDA-4CF0-A180-F2396AC504FD}">
  <sheetPr codeName="Sheet58">
    <tabColor rgb="FF00B0F0"/>
  </sheetPr>
  <dimension ref="A1:P52"/>
  <sheetViews>
    <sheetView view="pageBreakPreview" topLeftCell="A3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309</v>
      </c>
      <c r="D3" s="187"/>
      <c r="E3" s="187"/>
      <c r="F3" s="10" t="s">
        <v>3</v>
      </c>
      <c r="G3" s="10"/>
      <c r="H3" s="10"/>
      <c r="I3" s="10"/>
      <c r="J3" s="75">
        <v>113</v>
      </c>
      <c r="L3" s="4"/>
      <c r="O3" s="4"/>
    </row>
    <row r="4" spans="1:16" s="3" customFormat="1" ht="30" customHeight="1">
      <c r="B4" s="11" t="s">
        <v>5</v>
      </c>
      <c r="C4" s="12" t="s">
        <v>310</v>
      </c>
      <c r="D4" s="13"/>
      <c r="E4" s="13"/>
      <c r="F4" s="14" t="s">
        <v>6</v>
      </c>
      <c r="G4" s="15"/>
      <c r="H4" s="15"/>
      <c r="I4" s="15"/>
      <c r="J4" s="16">
        <v>45394</v>
      </c>
      <c r="L4" s="4"/>
      <c r="P4" s="4"/>
    </row>
    <row r="5" spans="1:16" s="3" customFormat="1" ht="30" customHeight="1">
      <c r="B5" s="11" t="s">
        <v>7</v>
      </c>
      <c r="C5" s="183" t="s">
        <v>287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311</v>
      </c>
      <c r="D11" s="98" t="s">
        <v>312</v>
      </c>
      <c r="E11" s="44"/>
      <c r="F11" s="45">
        <v>2600</v>
      </c>
      <c r="G11" s="46"/>
      <c r="H11" s="47"/>
      <c r="I11" s="48"/>
      <c r="J11" s="50">
        <f>F11*B11</f>
        <v>2600</v>
      </c>
      <c r="L11" s="4"/>
      <c r="M11" s="1"/>
      <c r="N11" s="1"/>
      <c r="O11" s="4"/>
    </row>
    <row r="12" spans="1:16" s="3" customFormat="1" ht="20.100000000000001" customHeight="1">
      <c r="B12" s="41">
        <v>1</v>
      </c>
      <c r="C12" s="42" t="s">
        <v>311</v>
      </c>
      <c r="D12" s="98" t="s">
        <v>313</v>
      </c>
      <c r="E12" s="44"/>
      <c r="F12" s="45">
        <v>8500</v>
      </c>
      <c r="G12" s="46"/>
      <c r="H12" s="47"/>
      <c r="I12" s="48"/>
      <c r="J12" s="50">
        <f>F12*B12</f>
        <v>8500</v>
      </c>
      <c r="L12" s="4"/>
      <c r="M12" s="1"/>
      <c r="N12" s="1"/>
      <c r="O12" s="4"/>
    </row>
    <row r="13" spans="1:16" s="3" customFormat="1" ht="20.100000000000001" customHeight="1">
      <c r="B13" s="41">
        <v>1</v>
      </c>
      <c r="C13" s="42" t="s">
        <v>137</v>
      </c>
      <c r="D13" s="43" t="s">
        <v>314</v>
      </c>
      <c r="E13" s="44"/>
      <c r="F13" s="45">
        <v>500</v>
      </c>
      <c r="G13" s="89"/>
      <c r="H13" s="47"/>
      <c r="I13" s="48"/>
      <c r="J13" s="50">
        <f>F13*B13</f>
        <v>500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50"/>
      <c r="L28" s="4"/>
      <c r="M28" s="5"/>
      <c r="O28" s="4"/>
    </row>
    <row r="29" spans="2:16" s="3" customFormat="1" ht="20.100000000000001" customHeight="1">
      <c r="B29" s="41"/>
      <c r="C29" s="42"/>
      <c r="D29" s="43"/>
      <c r="E29" s="44"/>
      <c r="F29" s="45"/>
      <c r="G29" s="46"/>
      <c r="H29" s="47"/>
      <c r="I29" s="48"/>
      <c r="J29" s="50"/>
      <c r="L29" s="4"/>
      <c r="M29" s="5"/>
      <c r="O29" s="4"/>
    </row>
    <row r="30" spans="2:16" s="3" customFormat="1" ht="20.100000000000001" customHeight="1">
      <c r="B30" s="41"/>
      <c r="C30" s="42"/>
      <c r="D30" s="43"/>
      <c r="E30" s="44"/>
      <c r="F30" s="45"/>
      <c r="G30" s="46"/>
      <c r="H30" s="47"/>
      <c r="I30" s="48"/>
      <c r="J30" s="50"/>
      <c r="L30" s="4"/>
      <c r="M30" s="5"/>
      <c r="O30" s="4"/>
    </row>
    <row r="31" spans="2:16" s="3" customFormat="1" ht="20.100000000000001" customHeight="1">
      <c r="B31" s="41"/>
      <c r="C31" s="42"/>
      <c r="D31" s="43"/>
      <c r="E31" s="44"/>
      <c r="F31" s="45"/>
      <c r="G31" s="46"/>
      <c r="H31" s="47"/>
      <c r="I31" s="48"/>
      <c r="J31" s="50"/>
      <c r="L31" s="4"/>
      <c r="M31" s="5"/>
      <c r="O31" s="4"/>
    </row>
    <row r="32" spans="2:16" s="3" customFormat="1" ht="20.100000000000001" customHeight="1">
      <c r="B32" s="41"/>
      <c r="C32" s="42"/>
      <c r="D32" s="43"/>
      <c r="E32" s="44"/>
      <c r="F32" s="45"/>
      <c r="G32" s="46"/>
      <c r="H32" s="47"/>
      <c r="I32" s="48"/>
      <c r="J32" s="61"/>
      <c r="L32" s="4"/>
      <c r="M32" s="5"/>
      <c r="O32" s="4"/>
    </row>
    <row r="33" spans="2:16" s="3" customFormat="1" ht="24" customHeight="1">
      <c r="B33" s="165"/>
      <c r="C33" s="167" t="s">
        <v>14</v>
      </c>
      <c r="D33" s="169" t="s">
        <v>315</v>
      </c>
      <c r="E33" s="170"/>
      <c r="F33" s="173" t="s">
        <v>15</v>
      </c>
      <c r="G33" s="174"/>
      <c r="H33" s="62"/>
      <c r="I33" s="62"/>
      <c r="J33" s="158">
        <f>SUM(J11:J32)</f>
        <v>11600</v>
      </c>
      <c r="K33" s="158"/>
      <c r="L33" s="189"/>
      <c r="M33" s="63"/>
      <c r="O33" s="4"/>
    </row>
    <row r="34" spans="2:16" s="3" customFormat="1" ht="19.5" customHeight="1">
      <c r="B34" s="166"/>
      <c r="C34" s="168"/>
      <c r="D34" s="171"/>
      <c r="E34" s="172"/>
      <c r="F34" s="175"/>
      <c r="G34" s="176"/>
      <c r="H34" s="62"/>
      <c r="I34" s="62"/>
      <c r="J34" s="159"/>
      <c r="K34" s="159"/>
      <c r="L34" s="190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8" t="s">
        <v>316</v>
      </c>
      <c r="D41" s="198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>
        <f>7000/180</f>
        <v>38.888888888888886</v>
      </c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  <c r="P43" s="5">
        <f>39*180</f>
        <v>7020</v>
      </c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8" t="s">
        <v>21</v>
      </c>
      <c r="D48" s="198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60"/>
      <c r="C49" s="160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B1:F1"/>
    <mergeCell ref="G1:J1"/>
    <mergeCell ref="C3:E3"/>
    <mergeCell ref="C5:E5"/>
    <mergeCell ref="D9:E9"/>
    <mergeCell ref="F9:H9"/>
    <mergeCell ref="B49:C49"/>
    <mergeCell ref="D10:E10"/>
    <mergeCell ref="F10:G10"/>
    <mergeCell ref="B33:B34"/>
    <mergeCell ref="C33:C34"/>
    <mergeCell ref="D33:E34"/>
    <mergeCell ref="F33:G34"/>
    <mergeCell ref="J33:J34"/>
    <mergeCell ref="K33:K34"/>
    <mergeCell ref="L33:L34"/>
    <mergeCell ref="C41:D41"/>
    <mergeCell ref="C48:D48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24445-41E6-4AB3-AA88-016535A814FE}">
  <sheetPr codeName="Sheet59">
    <tabColor rgb="FF00B0F0"/>
  </sheetPr>
  <dimension ref="A1:P52"/>
  <sheetViews>
    <sheetView view="pageBreakPreview" topLeftCell="A16" zoomScale="90" zoomScaleNormal="100" zoomScaleSheetLayoutView="90" workbookViewId="0">
      <selection activeCell="D26" sqref="D2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112</v>
      </c>
      <c r="L3" s="4"/>
      <c r="O3" s="4"/>
    </row>
    <row r="4" spans="1:16" s="3" customFormat="1" ht="30" customHeight="1">
      <c r="B4" s="11" t="s">
        <v>5</v>
      </c>
      <c r="C4" s="12" t="s">
        <v>285</v>
      </c>
      <c r="D4" s="13"/>
      <c r="E4" s="13"/>
      <c r="F4" s="14" t="s">
        <v>6</v>
      </c>
      <c r="G4" s="15"/>
      <c r="H4" s="15"/>
      <c r="I4" s="15"/>
      <c r="J4" s="16">
        <v>45394</v>
      </c>
      <c r="L4" s="4"/>
      <c r="P4" s="4"/>
    </row>
    <row r="5" spans="1:16" s="3" customFormat="1" ht="30" customHeight="1">
      <c r="B5" s="11" t="s">
        <v>7</v>
      </c>
      <c r="C5" s="183" t="s">
        <v>287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26</v>
      </c>
      <c r="C11" s="42" t="s">
        <v>137</v>
      </c>
      <c r="D11" s="98" t="s">
        <v>289</v>
      </c>
      <c r="E11" s="44"/>
      <c r="F11" s="45">
        <v>280</v>
      </c>
      <c r="G11" s="46"/>
      <c r="H11" s="47"/>
      <c r="I11" s="48"/>
      <c r="J11" s="50">
        <f>F11*B11</f>
        <v>7280</v>
      </c>
      <c r="L11" s="4"/>
      <c r="M11" s="1"/>
      <c r="N11" s="1"/>
      <c r="O11" s="4"/>
    </row>
    <row r="12" spans="1:16" s="3" customFormat="1" ht="20.100000000000001" customHeight="1">
      <c r="B12" s="41">
        <v>8</v>
      </c>
      <c r="C12" s="42" t="s">
        <v>137</v>
      </c>
      <c r="D12" s="98" t="s">
        <v>290</v>
      </c>
      <c r="E12" s="44"/>
      <c r="F12" s="45">
        <v>285</v>
      </c>
      <c r="G12" s="46"/>
      <c r="H12" s="47"/>
      <c r="I12" s="48"/>
      <c r="J12" s="50">
        <f>F12*B12</f>
        <v>2280</v>
      </c>
      <c r="L12" s="4"/>
      <c r="M12" s="1"/>
      <c r="N12" s="1"/>
      <c r="O12" s="4"/>
    </row>
    <row r="13" spans="1:16" s="3" customFormat="1" ht="20.100000000000001" customHeight="1">
      <c r="B13" s="41">
        <v>130</v>
      </c>
      <c r="C13" s="42" t="s">
        <v>137</v>
      </c>
      <c r="D13" s="43" t="s">
        <v>288</v>
      </c>
      <c r="E13" s="44"/>
      <c r="F13" s="45">
        <v>170</v>
      </c>
      <c r="G13" s="89"/>
      <c r="H13" s="47"/>
      <c r="I13" s="48"/>
      <c r="J13" s="50">
        <f t="shared" ref="J13:J32" si="0">F13*B13</f>
        <v>22100</v>
      </c>
      <c r="L13" s="93"/>
      <c r="M13" s="5"/>
      <c r="O13" s="90"/>
      <c r="P13" s="49"/>
    </row>
    <row r="14" spans="1:16" s="3" customFormat="1" ht="20.100000000000001" customHeight="1">
      <c r="B14" s="41">
        <v>54</v>
      </c>
      <c r="C14" s="42" t="s">
        <v>137</v>
      </c>
      <c r="D14" s="43" t="s">
        <v>291</v>
      </c>
      <c r="E14" s="44"/>
      <c r="F14" s="45">
        <v>200</v>
      </c>
      <c r="G14" s="76"/>
      <c r="H14" s="47"/>
      <c r="I14" s="48"/>
      <c r="J14" s="50">
        <f t="shared" si="0"/>
        <v>10800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35</v>
      </c>
      <c r="C15" s="42" t="s">
        <v>137</v>
      </c>
      <c r="D15" s="43" t="s">
        <v>292</v>
      </c>
      <c r="E15" s="44"/>
      <c r="F15" s="45">
        <v>115</v>
      </c>
      <c r="G15" s="89"/>
      <c r="H15" s="47"/>
      <c r="I15" s="48"/>
      <c r="J15" s="50">
        <f t="shared" si="0"/>
        <v>4025</v>
      </c>
      <c r="L15" s="4"/>
      <c r="M15" s="1"/>
      <c r="N15" s="1"/>
      <c r="O15" s="4"/>
    </row>
    <row r="16" spans="1:16" s="3" customFormat="1" ht="20.100000000000001" customHeight="1">
      <c r="B16" s="41">
        <v>18</v>
      </c>
      <c r="C16" s="42" t="s">
        <v>137</v>
      </c>
      <c r="D16" s="43" t="s">
        <v>293</v>
      </c>
      <c r="E16" s="44"/>
      <c r="F16" s="45">
        <v>347</v>
      </c>
      <c r="G16" s="46"/>
      <c r="H16" s="47"/>
      <c r="I16" s="48"/>
      <c r="J16" s="50">
        <f t="shared" si="0"/>
        <v>6246</v>
      </c>
      <c r="L16" s="93"/>
      <c r="M16" s="5"/>
      <c r="O16" s="90"/>
      <c r="P16" s="49"/>
    </row>
    <row r="17" spans="2:16" s="3" customFormat="1" ht="20.100000000000001" customHeight="1">
      <c r="B17" s="41">
        <v>15</v>
      </c>
      <c r="C17" s="42" t="s">
        <v>137</v>
      </c>
      <c r="D17" s="43" t="s">
        <v>295</v>
      </c>
      <c r="E17" s="44"/>
      <c r="F17" s="45">
        <v>130</v>
      </c>
      <c r="G17" s="46"/>
      <c r="H17" s="47"/>
      <c r="I17" s="48"/>
      <c r="J17" s="50">
        <f t="shared" si="0"/>
        <v>1950</v>
      </c>
      <c r="L17" s="93"/>
      <c r="M17" s="5"/>
      <c r="O17" s="90"/>
      <c r="P17" s="49"/>
    </row>
    <row r="18" spans="2:16" s="3" customFormat="1" ht="20.100000000000001" customHeight="1">
      <c r="B18" s="41">
        <v>15</v>
      </c>
      <c r="C18" s="42" t="s">
        <v>137</v>
      </c>
      <c r="D18" s="43" t="s">
        <v>296</v>
      </c>
      <c r="E18" s="44"/>
      <c r="F18" s="45">
        <v>95</v>
      </c>
      <c r="G18" s="46"/>
      <c r="H18" s="47"/>
      <c r="I18" s="48"/>
      <c r="J18" s="50">
        <f t="shared" si="0"/>
        <v>1425</v>
      </c>
      <c r="L18" s="93"/>
      <c r="M18" s="5"/>
      <c r="O18" s="90"/>
      <c r="P18" s="49"/>
    </row>
    <row r="19" spans="2:16" s="3" customFormat="1" ht="20.100000000000001" customHeight="1">
      <c r="B19" s="41">
        <v>24</v>
      </c>
      <c r="C19" s="42" t="s">
        <v>137</v>
      </c>
      <c r="D19" s="43" t="s">
        <v>294</v>
      </c>
      <c r="E19" s="44"/>
      <c r="F19" s="45">
        <v>190</v>
      </c>
      <c r="G19" s="46"/>
      <c r="H19" s="47"/>
      <c r="I19" s="48"/>
      <c r="J19" s="50">
        <f t="shared" si="0"/>
        <v>4560</v>
      </c>
      <c r="L19" s="4"/>
      <c r="M19" s="1"/>
      <c r="N19" s="1"/>
      <c r="O19" s="4"/>
      <c r="P19" s="49"/>
    </row>
    <row r="20" spans="2:16" s="3" customFormat="1" ht="20.100000000000001" customHeight="1">
      <c r="B20" s="41">
        <v>16</v>
      </c>
      <c r="C20" s="42" t="s">
        <v>137</v>
      </c>
      <c r="D20" s="43" t="s">
        <v>297</v>
      </c>
      <c r="E20" s="44"/>
      <c r="F20" s="45">
        <v>550</v>
      </c>
      <c r="G20" s="46"/>
      <c r="H20" s="47"/>
      <c r="I20" s="48"/>
      <c r="J20" s="50">
        <f t="shared" si="0"/>
        <v>8800</v>
      </c>
      <c r="L20" s="4"/>
      <c r="M20" s="1"/>
      <c r="N20" s="1"/>
      <c r="O20" s="4"/>
    </row>
    <row r="21" spans="2:16" s="3" customFormat="1" ht="20.100000000000001" customHeight="1">
      <c r="B21" s="41">
        <v>8</v>
      </c>
      <c r="C21" s="42" t="s">
        <v>265</v>
      </c>
      <c r="D21" s="43" t="s">
        <v>298</v>
      </c>
      <c r="E21" s="44"/>
      <c r="F21" s="45">
        <v>95</v>
      </c>
      <c r="G21" s="46"/>
      <c r="H21" s="47"/>
      <c r="I21" s="48"/>
      <c r="J21" s="50">
        <f t="shared" si="0"/>
        <v>760</v>
      </c>
      <c r="L21" s="4"/>
      <c r="M21" s="5"/>
      <c r="N21" s="56"/>
      <c r="O21" s="4"/>
    </row>
    <row r="22" spans="2:16" s="3" customFormat="1" ht="20.100000000000001" customHeight="1">
      <c r="B22" s="41">
        <v>16</v>
      </c>
      <c r="C22" s="42" t="s">
        <v>265</v>
      </c>
      <c r="D22" s="43" t="s">
        <v>299</v>
      </c>
      <c r="E22" s="44"/>
      <c r="F22" s="45">
        <v>78</v>
      </c>
      <c r="G22" s="46"/>
      <c r="H22" s="47"/>
      <c r="I22" s="48"/>
      <c r="J22" s="50">
        <f t="shared" si="0"/>
        <v>1248</v>
      </c>
      <c r="L22" s="4"/>
      <c r="M22" s="5"/>
      <c r="O22" s="4"/>
    </row>
    <row r="23" spans="2:16" s="3" customFormat="1" ht="20.100000000000001" customHeight="1">
      <c r="B23" s="41">
        <v>45</v>
      </c>
      <c r="C23" s="42" t="s">
        <v>265</v>
      </c>
      <c r="D23" s="43" t="s">
        <v>300</v>
      </c>
      <c r="E23" s="44"/>
      <c r="F23" s="45">
        <v>70</v>
      </c>
      <c r="G23" s="46"/>
      <c r="H23" s="47"/>
      <c r="I23" s="48"/>
      <c r="J23" s="50">
        <f t="shared" si="0"/>
        <v>3150</v>
      </c>
      <c r="L23" s="4"/>
      <c r="M23" s="5"/>
      <c r="O23" s="4"/>
    </row>
    <row r="24" spans="2:16" s="3" customFormat="1" ht="20.100000000000001" customHeight="1">
      <c r="B24" s="41">
        <v>10</v>
      </c>
      <c r="C24" s="42" t="s">
        <v>265</v>
      </c>
      <c r="D24" s="43" t="s">
        <v>301</v>
      </c>
      <c r="E24" s="44"/>
      <c r="F24" s="45">
        <v>86</v>
      </c>
      <c r="G24" s="46"/>
      <c r="H24" s="47"/>
      <c r="I24" s="48"/>
      <c r="J24" s="50">
        <f t="shared" si="0"/>
        <v>860</v>
      </c>
      <c r="L24" s="4"/>
      <c r="M24" s="5"/>
      <c r="O24" s="4"/>
    </row>
    <row r="25" spans="2:16" s="3" customFormat="1" ht="20.100000000000001" customHeight="1">
      <c r="B25" s="41">
        <v>113</v>
      </c>
      <c r="C25" s="42" t="s">
        <v>137</v>
      </c>
      <c r="D25" s="43" t="s">
        <v>302</v>
      </c>
      <c r="E25" s="44"/>
      <c r="F25" s="45">
        <v>9</v>
      </c>
      <c r="G25" s="46"/>
      <c r="H25" s="47"/>
      <c r="I25" s="48"/>
      <c r="J25" s="50">
        <f t="shared" si="0"/>
        <v>1017</v>
      </c>
      <c r="L25" s="4"/>
      <c r="M25" s="5"/>
      <c r="O25" s="4"/>
    </row>
    <row r="26" spans="2:16" s="3" customFormat="1" ht="20.100000000000001" customHeight="1">
      <c r="B26" s="41">
        <v>10</v>
      </c>
      <c r="C26" s="42" t="s">
        <v>152</v>
      </c>
      <c r="D26" s="43" t="s">
        <v>303</v>
      </c>
      <c r="E26" s="44"/>
      <c r="F26" s="45">
        <v>195</v>
      </c>
      <c r="G26" s="46"/>
      <c r="H26" s="47"/>
      <c r="I26" s="48"/>
      <c r="J26" s="50">
        <f t="shared" si="0"/>
        <v>1950</v>
      </c>
      <c r="L26" s="4"/>
      <c r="M26" s="5"/>
      <c r="O26" s="4"/>
    </row>
    <row r="27" spans="2:16" s="3" customFormat="1" ht="20.100000000000001" customHeight="1">
      <c r="B27" s="41">
        <v>10</v>
      </c>
      <c r="C27" s="42" t="s">
        <v>137</v>
      </c>
      <c r="D27" s="43" t="s">
        <v>304</v>
      </c>
      <c r="E27" s="44"/>
      <c r="F27" s="45">
        <v>156</v>
      </c>
      <c r="G27" s="46"/>
      <c r="H27" s="47"/>
      <c r="I27" s="48"/>
      <c r="J27" s="50">
        <f t="shared" si="0"/>
        <v>1560</v>
      </c>
      <c r="L27" s="4"/>
      <c r="M27" s="5"/>
      <c r="O27" s="4"/>
    </row>
    <row r="28" spans="2:16" s="3" customFormat="1" ht="20.100000000000001" customHeight="1">
      <c r="B28" s="41">
        <v>5</v>
      </c>
      <c r="C28" s="42" t="s">
        <v>265</v>
      </c>
      <c r="D28" s="43" t="s">
        <v>266</v>
      </c>
      <c r="E28" s="44"/>
      <c r="F28" s="45">
        <v>70</v>
      </c>
      <c r="G28" s="46"/>
      <c r="H28" s="47"/>
      <c r="I28" s="48"/>
      <c r="J28" s="50">
        <f t="shared" si="0"/>
        <v>350</v>
      </c>
      <c r="L28" s="4"/>
      <c r="M28" s="5"/>
      <c r="O28" s="4"/>
    </row>
    <row r="29" spans="2:16" s="3" customFormat="1" ht="20.100000000000001" customHeight="1">
      <c r="B29" s="41">
        <v>2</v>
      </c>
      <c r="C29" s="42" t="s">
        <v>137</v>
      </c>
      <c r="D29" s="43" t="s">
        <v>305</v>
      </c>
      <c r="E29" s="44"/>
      <c r="F29" s="45">
        <v>500</v>
      </c>
      <c r="G29" s="46"/>
      <c r="H29" s="47"/>
      <c r="I29" s="48"/>
      <c r="J29" s="50">
        <f t="shared" si="0"/>
        <v>1000</v>
      </c>
      <c r="L29" s="4"/>
      <c r="M29" s="5"/>
      <c r="O29" s="4"/>
    </row>
    <row r="30" spans="2:16" s="3" customFormat="1" ht="20.100000000000001" customHeight="1">
      <c r="B30" s="41">
        <v>8</v>
      </c>
      <c r="C30" s="42" t="s">
        <v>137</v>
      </c>
      <c r="D30" s="43" t="s">
        <v>306</v>
      </c>
      <c r="E30" s="44"/>
      <c r="F30" s="45">
        <v>45</v>
      </c>
      <c r="G30" s="46"/>
      <c r="H30" s="47"/>
      <c r="I30" s="48"/>
      <c r="J30" s="50">
        <f t="shared" si="0"/>
        <v>360</v>
      </c>
      <c r="L30" s="4"/>
      <c r="M30" s="5"/>
      <c r="O30" s="4"/>
    </row>
    <row r="31" spans="2:16" s="3" customFormat="1" ht="20.100000000000001" customHeight="1">
      <c r="B31" s="41">
        <v>3</v>
      </c>
      <c r="C31" s="42" t="s">
        <v>137</v>
      </c>
      <c r="D31" s="43" t="s">
        <v>307</v>
      </c>
      <c r="E31" s="44"/>
      <c r="F31" s="45">
        <v>250</v>
      </c>
      <c r="G31" s="46"/>
      <c r="H31" s="47"/>
      <c r="I31" s="48"/>
      <c r="J31" s="50">
        <f t="shared" si="0"/>
        <v>750</v>
      </c>
      <c r="L31" s="4"/>
      <c r="M31" s="5"/>
      <c r="O31" s="4"/>
    </row>
    <row r="32" spans="2:16" s="3" customFormat="1" ht="20.100000000000001" customHeight="1">
      <c r="B32" s="41">
        <v>1</v>
      </c>
      <c r="C32" s="42" t="s">
        <v>137</v>
      </c>
      <c r="D32" s="43" t="s">
        <v>308</v>
      </c>
      <c r="E32" s="44"/>
      <c r="F32" s="45">
        <v>300</v>
      </c>
      <c r="G32" s="46"/>
      <c r="H32" s="47"/>
      <c r="I32" s="48"/>
      <c r="J32" s="61">
        <f t="shared" si="0"/>
        <v>300</v>
      </c>
      <c r="L32" s="4"/>
      <c r="M32" s="5"/>
      <c r="O32" s="4"/>
    </row>
    <row r="33" spans="2:16" s="3" customFormat="1" ht="20.100000000000001" customHeight="1">
      <c r="B33" s="165"/>
      <c r="C33" s="167" t="s">
        <v>14</v>
      </c>
      <c r="D33" s="169"/>
      <c r="E33" s="170"/>
      <c r="F33" s="173" t="s">
        <v>15</v>
      </c>
      <c r="G33" s="174"/>
      <c r="H33" s="62"/>
      <c r="I33" s="62"/>
      <c r="J33" s="158">
        <f>SUM(J11:J32)</f>
        <v>82771</v>
      </c>
      <c r="K33" s="158"/>
      <c r="L33" s="189"/>
      <c r="M33" s="63"/>
      <c r="O33" s="4"/>
    </row>
    <row r="34" spans="2:16" s="3" customFormat="1" ht="19.5" customHeight="1">
      <c r="B34" s="166"/>
      <c r="C34" s="168"/>
      <c r="D34" s="171"/>
      <c r="E34" s="172"/>
      <c r="F34" s="175"/>
      <c r="G34" s="176"/>
      <c r="H34" s="62"/>
      <c r="I34" s="62"/>
      <c r="J34" s="159"/>
      <c r="K34" s="159"/>
      <c r="L34" s="190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8" t="s">
        <v>286</v>
      </c>
      <c r="D41" s="198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/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8" t="s">
        <v>21</v>
      </c>
      <c r="D48" s="198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60"/>
      <c r="C49" s="160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B1:F1"/>
    <mergeCell ref="G1:J1"/>
    <mergeCell ref="C3:E3"/>
    <mergeCell ref="C5:E5"/>
    <mergeCell ref="D9:E9"/>
    <mergeCell ref="F9:H9"/>
    <mergeCell ref="D10:E10"/>
    <mergeCell ref="F10:G10"/>
    <mergeCell ref="B33:B34"/>
    <mergeCell ref="C33:C34"/>
    <mergeCell ref="D33:E34"/>
    <mergeCell ref="F33:G34"/>
    <mergeCell ref="J33:J34"/>
    <mergeCell ref="K33:K34"/>
    <mergeCell ref="L33:L34"/>
    <mergeCell ref="B49:C49"/>
    <mergeCell ref="C41:D41"/>
    <mergeCell ref="C48:D48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82DC-89A7-4C48-AFF9-DD7F1F18BF29}">
  <sheetPr codeName="Sheet60">
    <tabColor rgb="FFC0000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277</v>
      </c>
      <c r="D3" s="195"/>
      <c r="E3" s="195"/>
      <c r="F3" s="10" t="s">
        <v>3</v>
      </c>
      <c r="G3" s="10"/>
      <c r="H3" s="10"/>
      <c r="I3" s="10"/>
      <c r="J3" s="75">
        <v>111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276</v>
      </c>
      <c r="D4" s="13"/>
      <c r="E4" s="13"/>
      <c r="F4" s="14" t="s">
        <v>6</v>
      </c>
      <c r="G4" s="15"/>
      <c r="H4" s="15"/>
      <c r="I4" s="15"/>
      <c r="J4" s="16">
        <v>45392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235</v>
      </c>
      <c r="E11" s="197"/>
      <c r="F11" s="45">
        <v>162.44999999999999</v>
      </c>
      <c r="G11" s="76"/>
      <c r="H11" s="47"/>
      <c r="I11" s="48"/>
      <c r="J11" s="50">
        <f>F11</f>
        <v>162.44999999999999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162.44999999999999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64BE5F-43B0-41CE-B0FB-6C1732FD67DA}">
  <sheetPr codeName="Sheet61">
    <tabColor rgb="FFC00000"/>
  </sheetPr>
  <dimension ref="A1:P45"/>
  <sheetViews>
    <sheetView view="pageBreakPreview" zoomScale="80" zoomScaleNormal="100" zoomScaleSheetLayoutView="8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209</v>
      </c>
      <c r="D3" s="188"/>
      <c r="E3" s="188"/>
      <c r="F3" s="10" t="s">
        <v>3</v>
      </c>
      <c r="G3" s="10"/>
      <c r="H3" s="10"/>
      <c r="I3" s="10"/>
      <c r="J3" s="75">
        <v>110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210</v>
      </c>
      <c r="D4" s="13"/>
      <c r="E4" s="13"/>
      <c r="F4" s="14" t="s">
        <v>6</v>
      </c>
      <c r="G4" s="15"/>
      <c r="H4" s="15"/>
      <c r="I4" s="15"/>
      <c r="J4" s="16">
        <v>45392</v>
      </c>
      <c r="L4" s="17"/>
      <c r="P4" s="4"/>
    </row>
    <row r="5" spans="1:16" s="3" customFormat="1" ht="30" customHeight="1">
      <c r="B5" s="11" t="s">
        <v>7</v>
      </c>
      <c r="C5" s="79" t="s">
        <v>114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274</v>
      </c>
      <c r="E11" s="194"/>
      <c r="F11" s="45">
        <v>132.19999999999999</v>
      </c>
      <c r="G11" s="76"/>
      <c r="H11" s="47"/>
      <c r="I11" s="48"/>
      <c r="J11" s="94">
        <f>F11</f>
        <v>132.19999999999999</v>
      </c>
      <c r="L11" s="3">
        <v>150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275</v>
      </c>
      <c r="E12" s="44"/>
      <c r="F12" s="45">
        <v>600</v>
      </c>
      <c r="G12" s="76"/>
      <c r="H12" s="47"/>
      <c r="I12" s="48"/>
      <c r="J12" s="50">
        <f>F12</f>
        <v>600</v>
      </c>
      <c r="L12" s="1"/>
      <c r="M12" s="1"/>
      <c r="N12" s="1">
        <f>470+280+250+100</f>
        <v>1100</v>
      </c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46"/>
      <c r="H13" s="47"/>
      <c r="I13" s="48"/>
      <c r="J13" s="94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732.2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70FC9A-0FB6-4EFE-B4CE-77110B3D5D70}">
  <sheetPr codeName="Sheet62">
    <tabColor rgb="FF00B0F0"/>
  </sheetPr>
  <dimension ref="A1:P45"/>
  <sheetViews>
    <sheetView view="pageBreakPreview" topLeftCell="A4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106</v>
      </c>
      <c r="L3" s="4"/>
      <c r="O3" s="4"/>
    </row>
    <row r="4" spans="1:16" s="3" customFormat="1" ht="30" customHeight="1">
      <c r="B4" s="11" t="s">
        <v>5</v>
      </c>
      <c r="C4" s="12" t="s">
        <v>278</v>
      </c>
      <c r="D4" s="13"/>
      <c r="E4" s="13"/>
      <c r="F4" s="14" t="s">
        <v>6</v>
      </c>
      <c r="G4" s="15"/>
      <c r="H4" s="15"/>
      <c r="I4" s="15"/>
      <c r="J4" s="16">
        <v>45393</v>
      </c>
      <c r="L4" s="4"/>
      <c r="P4" s="4"/>
    </row>
    <row r="5" spans="1:16" s="3" customFormat="1" ht="30" customHeight="1">
      <c r="B5" s="11" t="s">
        <v>7</v>
      </c>
      <c r="C5" s="183" t="s">
        <v>279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400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82000</v>
      </c>
      <c r="L11" s="4"/>
      <c r="M11" s="1"/>
      <c r="N11" s="1"/>
      <c r="O11" s="4"/>
    </row>
    <row r="12" spans="1:16" s="3" customFormat="1" ht="20.100000000000001" customHeight="1">
      <c r="B12" s="41">
        <v>160</v>
      </c>
      <c r="C12" s="42" t="s">
        <v>137</v>
      </c>
      <c r="D12" s="98" t="s">
        <v>281</v>
      </c>
      <c r="E12" s="44"/>
      <c r="F12" s="45">
        <v>270</v>
      </c>
      <c r="G12" s="76"/>
      <c r="H12" s="47"/>
      <c r="I12" s="48"/>
      <c r="J12" s="50">
        <f>F12*B12</f>
        <v>43200</v>
      </c>
      <c r="L12" s="93">
        <v>2451</v>
      </c>
      <c r="M12" s="5"/>
      <c r="N12" s="5"/>
      <c r="P12" s="4"/>
    </row>
    <row r="13" spans="1:16" s="3" customFormat="1" ht="20.100000000000001" customHeight="1">
      <c r="B13" s="41">
        <v>1</v>
      </c>
      <c r="C13" s="42" t="s">
        <v>158</v>
      </c>
      <c r="D13" s="43" t="s">
        <v>282</v>
      </c>
      <c r="E13" s="44"/>
      <c r="F13" s="45">
        <v>35</v>
      </c>
      <c r="G13" s="89"/>
      <c r="H13" s="47"/>
      <c r="I13" s="48"/>
      <c r="J13" s="50">
        <f>F13*B13</f>
        <v>35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283</v>
      </c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>
        <v>120</v>
      </c>
      <c r="C17" s="42" t="s">
        <v>280</v>
      </c>
      <c r="D17" s="43" t="s">
        <v>284</v>
      </c>
      <c r="E17" s="44"/>
      <c r="F17" s="45">
        <v>400</v>
      </c>
      <c r="G17" s="46"/>
      <c r="H17" s="47"/>
      <c r="I17" s="48"/>
      <c r="J17" s="50">
        <f>F17*B17</f>
        <v>48000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173235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F2C2CA-6459-4867-BEB6-D95C7183EC8D}">
  <sheetPr>
    <tabColor rgb="FF00B0F0"/>
  </sheetPr>
  <dimension ref="A1:P45"/>
  <sheetViews>
    <sheetView view="pageBreakPreview" zoomScale="70" zoomScaleNormal="100" zoomScaleSheetLayoutView="7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2" t="s">
        <v>360</v>
      </c>
      <c r="D3" s="182"/>
      <c r="E3" s="182"/>
      <c r="F3" s="10" t="s">
        <v>3</v>
      </c>
      <c r="G3" s="10"/>
      <c r="H3" s="10"/>
      <c r="I3" s="10"/>
      <c r="J3" s="75">
        <v>207</v>
      </c>
      <c r="O3" s="4"/>
    </row>
    <row r="4" spans="1:16" s="3" customFormat="1" ht="30" customHeight="1">
      <c r="B4" s="11" t="s">
        <v>5</v>
      </c>
      <c r="C4" s="12" t="s">
        <v>679</v>
      </c>
      <c r="D4" s="13"/>
      <c r="E4" s="13"/>
      <c r="F4" s="14" t="s">
        <v>6</v>
      </c>
      <c r="G4" s="15"/>
      <c r="H4" s="15"/>
      <c r="I4" s="15"/>
      <c r="J4" s="16">
        <v>45469</v>
      </c>
      <c r="L4" s="17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30</v>
      </c>
      <c r="C11" s="42" t="s">
        <v>137</v>
      </c>
      <c r="D11" s="43" t="s">
        <v>671</v>
      </c>
      <c r="E11" s="44"/>
      <c r="F11" s="45">
        <v>240</v>
      </c>
      <c r="G11" s="46"/>
      <c r="H11" s="47"/>
      <c r="I11" s="48"/>
      <c r="J11" s="45">
        <f>F11*B11</f>
        <v>7200</v>
      </c>
      <c r="M11" s="1"/>
      <c r="N11" s="1"/>
      <c r="O11" s="4"/>
      <c r="P11" s="49"/>
    </row>
    <row r="12" spans="1:16" s="3" customFormat="1" ht="20.100000000000001" customHeight="1">
      <c r="B12" s="41">
        <v>30</v>
      </c>
      <c r="C12" s="42" t="s">
        <v>137</v>
      </c>
      <c r="D12" s="43" t="s">
        <v>672</v>
      </c>
      <c r="E12" s="44"/>
      <c r="F12" s="45">
        <v>250</v>
      </c>
      <c r="G12" s="46"/>
      <c r="H12" s="47"/>
      <c r="I12" s="48"/>
      <c r="J12" s="45">
        <f>F12*B12</f>
        <v>7500</v>
      </c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680</v>
      </c>
      <c r="E26" s="170"/>
      <c r="F26" s="173" t="s">
        <v>15</v>
      </c>
      <c r="G26" s="174"/>
      <c r="H26" s="62"/>
      <c r="I26" s="62"/>
      <c r="J26" s="158">
        <f>SUM(J11:J25)</f>
        <v>14700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9969C-3DFD-4AEF-8E66-4B0C6396DC44}">
  <sheetPr codeName="Sheet63">
    <tabColor rgb="FFC00000"/>
  </sheetPr>
  <dimension ref="A1:P45"/>
  <sheetViews>
    <sheetView view="pageBreakPreview" zoomScaleNormal="100" zoomScaleSheetLayoutView="100" workbookViewId="0">
      <selection activeCell="F11" sqref="F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72</v>
      </c>
      <c r="D3" s="195"/>
      <c r="E3" s="195"/>
      <c r="F3" s="10" t="s">
        <v>3</v>
      </c>
      <c r="G3" s="10"/>
      <c r="H3" s="10"/>
      <c r="I3" s="10"/>
      <c r="J3" s="75">
        <v>100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126</v>
      </c>
      <c r="D4" s="13"/>
      <c r="E4" s="13"/>
      <c r="F4" s="14" t="s">
        <v>6</v>
      </c>
      <c r="G4" s="15"/>
      <c r="H4" s="15"/>
      <c r="I4" s="15"/>
      <c r="J4" s="16">
        <v>45377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273</v>
      </c>
      <c r="E11" s="197"/>
      <c r="F11" s="45">
        <f>1899.05-500</f>
        <v>1399.05</v>
      </c>
      <c r="G11" s="76"/>
      <c r="H11" s="47"/>
      <c r="I11" s="48"/>
      <c r="J11" s="50">
        <f>F11</f>
        <v>1399.05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 t="s">
        <v>127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128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129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130</v>
      </c>
      <c r="E26" s="170"/>
      <c r="F26" s="173" t="s">
        <v>15</v>
      </c>
      <c r="G26" s="174"/>
      <c r="H26" s="62"/>
      <c r="I26" s="62"/>
      <c r="J26" s="158">
        <f>SUM(J11:J25)</f>
        <v>1399.05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352AAA-CD92-4DE8-BEE5-8AEB5D4361BB}">
  <sheetPr codeName="Sheet64">
    <tabColor rgb="FF0070C0"/>
  </sheetPr>
  <dimension ref="A1:R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2" width="11.7109375" style="5" customWidth="1"/>
    <col min="13" max="13" width="3.7109375" style="5" customWidth="1"/>
    <col min="14" max="14" width="14.28515625" style="8" bestFit="1" customWidth="1"/>
    <col min="15" max="15" width="11.140625" style="5" bestFit="1" customWidth="1"/>
    <col min="16" max="16" width="16.28515625" style="5" bestFit="1" customWidth="1"/>
    <col min="17" max="17" width="14.5703125" style="8" bestFit="1" customWidth="1"/>
    <col min="18" max="18" width="11.5703125" style="5" bestFit="1" customWidth="1"/>
    <col min="19" max="16384" width="9.140625" style="5"/>
  </cols>
  <sheetData>
    <row r="1" spans="1:18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M1" s="2"/>
      <c r="N1" s="92"/>
      <c r="Q1" s="4"/>
    </row>
    <row r="2" spans="1:18" ht="15" thickTop="1"/>
    <row r="3" spans="1:18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90</v>
      </c>
      <c r="N3" s="4"/>
      <c r="Q3" s="4"/>
    </row>
    <row r="4" spans="1:18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N4" s="4"/>
      <c r="R4" s="4"/>
    </row>
    <row r="5" spans="1:18" s="3" customFormat="1" ht="30" customHeight="1">
      <c r="B5" s="11" t="s">
        <v>7</v>
      </c>
      <c r="C5" s="183" t="s">
        <v>272</v>
      </c>
      <c r="D5" s="183"/>
      <c r="E5" s="183"/>
      <c r="F5" s="15" t="s">
        <v>8</v>
      </c>
      <c r="G5" s="15"/>
      <c r="H5" s="15"/>
      <c r="I5" s="15"/>
      <c r="J5" s="16"/>
      <c r="N5" s="4"/>
      <c r="R5" s="4"/>
    </row>
    <row r="6" spans="1:18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N6" s="4"/>
      <c r="R6" s="4"/>
    </row>
    <row r="7" spans="1:18" s="3" customFormat="1" ht="13.5" customHeight="1" thickBot="1">
      <c r="B7" s="23"/>
      <c r="C7" s="24"/>
      <c r="D7" s="24"/>
      <c r="G7" s="25"/>
      <c r="J7" s="26"/>
      <c r="N7" s="4"/>
      <c r="R7" s="4"/>
    </row>
    <row r="8" spans="1:18" ht="4.5" hidden="1" customHeight="1">
      <c r="B8" s="27"/>
      <c r="C8" s="28"/>
      <c r="D8" s="28"/>
      <c r="E8" s="28"/>
      <c r="F8" s="28"/>
      <c r="G8" s="28"/>
      <c r="H8" s="28"/>
      <c r="I8" s="28"/>
      <c r="J8" s="28"/>
      <c r="Q8" s="5"/>
      <c r="R8" s="8"/>
    </row>
    <row r="9" spans="1:18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N9" s="34"/>
      <c r="O9" s="98" t="s">
        <v>257</v>
      </c>
      <c r="R9" s="34"/>
    </row>
    <row r="10" spans="1:18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N10" s="40"/>
      <c r="R10" s="40"/>
    </row>
    <row r="11" spans="1:18" s="3" customFormat="1" ht="20.100000000000001" customHeight="1">
      <c r="B11" s="41">
        <v>695</v>
      </c>
      <c r="C11" s="42" t="s">
        <v>137</v>
      </c>
      <c r="D11" s="98" t="s">
        <v>453</v>
      </c>
      <c r="E11" s="44"/>
      <c r="F11" s="45"/>
      <c r="G11" s="46"/>
      <c r="H11" s="47"/>
      <c r="I11" s="48"/>
      <c r="J11" s="50"/>
      <c r="K11" s="41">
        <f>2778/2</f>
        <v>1389</v>
      </c>
      <c r="L11" s="3">
        <f>K11/2</f>
        <v>694.5</v>
      </c>
      <c r="N11" s="4"/>
      <c r="O11" s="1"/>
      <c r="P11" s="1"/>
      <c r="Q11" s="4"/>
    </row>
    <row r="12" spans="1:18" s="3" customFormat="1" ht="20.100000000000001" customHeight="1">
      <c r="B12" s="41">
        <v>613</v>
      </c>
      <c r="C12" s="42" t="s">
        <v>265</v>
      </c>
      <c r="D12" s="98" t="s">
        <v>452</v>
      </c>
      <c r="E12" s="44"/>
      <c r="F12" s="45"/>
      <c r="G12" s="76"/>
      <c r="H12" s="47"/>
      <c r="I12" s="48"/>
      <c r="J12" s="50"/>
      <c r="K12" s="41">
        <f>2452/2</f>
        <v>1226</v>
      </c>
      <c r="L12" s="3">
        <f>K12/2</f>
        <v>613</v>
      </c>
      <c r="N12" s="93">
        <v>2451</v>
      </c>
      <c r="O12" s="5"/>
      <c r="P12" s="5"/>
      <c r="R12" s="4"/>
    </row>
    <row r="13" spans="1:18" s="3" customFormat="1" ht="20.100000000000001" customHeight="1">
      <c r="B13" s="41">
        <v>187</v>
      </c>
      <c r="C13" s="42" t="s">
        <v>265</v>
      </c>
      <c r="D13" s="43" t="s">
        <v>266</v>
      </c>
      <c r="E13" s="44"/>
      <c r="F13" s="45"/>
      <c r="G13" s="89"/>
      <c r="H13" s="47"/>
      <c r="I13" s="48"/>
      <c r="J13" s="50"/>
      <c r="K13" s="41">
        <f>748/2</f>
        <v>374</v>
      </c>
      <c r="L13" s="3">
        <f>K13/2</f>
        <v>187</v>
      </c>
      <c r="N13" s="93"/>
      <c r="O13" s="5"/>
      <c r="Q13" s="90"/>
      <c r="R13" s="49"/>
    </row>
    <row r="14" spans="1:18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N14" s="4"/>
      <c r="O14" s="1"/>
      <c r="P14" s="1"/>
      <c r="Q14" s="4"/>
      <c r="R14" s="49"/>
    </row>
    <row r="15" spans="1:18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N15" s="4"/>
      <c r="O15" s="1"/>
      <c r="P15" s="1"/>
      <c r="Q15" s="4"/>
    </row>
    <row r="16" spans="1:18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N16" s="93"/>
      <c r="O16" s="5"/>
      <c r="Q16" s="90"/>
      <c r="R16" s="49"/>
    </row>
    <row r="17" spans="2:18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N17" s="4"/>
      <c r="O17" s="1"/>
      <c r="P17" s="1"/>
      <c r="Q17" s="4"/>
      <c r="R17" s="49"/>
    </row>
    <row r="18" spans="2:18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N18" s="4"/>
      <c r="O18" s="1"/>
      <c r="P18" s="1"/>
      <c r="Q18" s="4"/>
    </row>
    <row r="19" spans="2:18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N19" s="4"/>
      <c r="O19" s="5"/>
      <c r="P19" s="56"/>
      <c r="Q19" s="4"/>
    </row>
    <row r="20" spans="2:18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N20" s="4"/>
      <c r="O20" s="5"/>
      <c r="Q20" s="4"/>
    </row>
    <row r="21" spans="2:18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N21" s="4"/>
      <c r="O21" s="5"/>
      <c r="Q21" s="4"/>
    </row>
    <row r="22" spans="2:18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N22" s="4"/>
      <c r="O22" s="5"/>
      <c r="Q22" s="4"/>
    </row>
    <row r="23" spans="2:18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N23" s="4"/>
      <c r="O23" s="5"/>
      <c r="Q23" s="4"/>
    </row>
    <row r="24" spans="2:18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N24" s="4"/>
      <c r="O24" s="5"/>
      <c r="Q24" s="4"/>
    </row>
    <row r="25" spans="2:18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N25" s="4">
        <f>6542.48+13381.86+13108.17</f>
        <v>33032.51</v>
      </c>
      <c r="O25" s="5"/>
      <c r="Q25" s="4"/>
    </row>
    <row r="26" spans="2:18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0</v>
      </c>
      <c r="K26" s="158"/>
      <c r="L26" s="129"/>
      <c r="M26" s="129"/>
      <c r="N26" s="189">
        <f>SUM(N11:N25)</f>
        <v>35483.51</v>
      </c>
      <c r="O26" s="63"/>
      <c r="Q26" s="4"/>
    </row>
    <row r="27" spans="2:18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30"/>
      <c r="M27" s="130"/>
      <c r="N27" s="190"/>
      <c r="O27" s="5"/>
      <c r="Q27" s="4"/>
    </row>
    <row r="28" spans="2:18" ht="3.75" customHeight="1">
      <c r="E28" s="64"/>
      <c r="F28" s="64"/>
    </row>
    <row r="29" spans="2:18" ht="3.75" customHeight="1">
      <c r="E29" s="64"/>
      <c r="F29" s="64"/>
    </row>
    <row r="30" spans="2:18">
      <c r="E30" s="65"/>
      <c r="F30" s="65"/>
      <c r="G30" s="65"/>
      <c r="H30" s="65"/>
      <c r="I30" s="65"/>
      <c r="J30" s="65"/>
      <c r="O30" s="63"/>
    </row>
    <row r="31" spans="2:18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5"/>
    </row>
    <row r="32" spans="2:18">
      <c r="B32" s="69"/>
      <c r="C32" s="67"/>
      <c r="D32" s="67"/>
      <c r="E32" s="67"/>
      <c r="F32" s="67"/>
      <c r="G32" s="68"/>
      <c r="H32" s="67"/>
      <c r="I32" s="67"/>
      <c r="J32" s="67"/>
      <c r="N32" s="5"/>
    </row>
    <row r="33" spans="2:18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N33" s="5"/>
      <c r="O33" s="7"/>
    </row>
    <row r="34" spans="2:18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5"/>
      <c r="O34" s="70"/>
    </row>
    <row r="35" spans="2:18">
      <c r="B35" s="7"/>
      <c r="C35" s="67"/>
      <c r="D35" s="66"/>
      <c r="E35" s="68"/>
      <c r="F35" s="67"/>
      <c r="G35" s="67"/>
      <c r="H35" s="67"/>
      <c r="I35" s="67"/>
      <c r="J35" s="68"/>
      <c r="P35" s="70"/>
      <c r="Q35" s="5"/>
      <c r="R35" s="8"/>
    </row>
    <row r="36" spans="2:18">
      <c r="B36" s="7"/>
      <c r="C36" s="68"/>
      <c r="D36" s="68"/>
      <c r="E36" s="67"/>
      <c r="F36" s="67"/>
      <c r="G36" s="67"/>
      <c r="H36" s="67"/>
      <c r="I36" s="67"/>
      <c r="J36" s="67"/>
      <c r="P36" s="70"/>
      <c r="Q36" s="5"/>
      <c r="R36" s="8"/>
    </row>
    <row r="37" spans="2:18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Q37" s="5"/>
      <c r="R37" s="8"/>
    </row>
    <row r="38" spans="2:18">
      <c r="B38" s="7"/>
      <c r="C38" s="68"/>
      <c r="D38" s="68"/>
      <c r="E38" s="67"/>
      <c r="F38" s="67"/>
      <c r="G38" s="67"/>
      <c r="H38" s="67"/>
      <c r="I38" s="67"/>
      <c r="J38" s="67"/>
    </row>
    <row r="39" spans="2:18">
      <c r="C39" s="68"/>
      <c r="D39" s="68"/>
      <c r="E39" s="67"/>
      <c r="F39" s="67"/>
      <c r="G39" s="67"/>
      <c r="H39" s="67"/>
      <c r="I39" s="67"/>
      <c r="J39" s="67"/>
    </row>
    <row r="40" spans="2:18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8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O41" s="73"/>
    </row>
    <row r="42" spans="2:18">
      <c r="B42" s="160"/>
      <c r="C42" s="160"/>
      <c r="E42" s="7"/>
      <c r="F42" s="7"/>
    </row>
    <row r="43" spans="2:18" ht="15.75" customHeight="1"/>
    <row r="45" spans="2:18" ht="15">
      <c r="O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N26:N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ADABF4-C775-42DE-9CB2-6D8E1CA523B4}">
  <sheetPr codeName="Sheet65">
    <tabColor rgb="FF0070C0"/>
  </sheetPr>
  <dimension ref="A1:Q45"/>
  <sheetViews>
    <sheetView view="pageBreakPreview" zoomScale="110" zoomScaleNormal="100" zoomScaleSheetLayoutView="11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2" width="9.42578125" style="5" customWidth="1"/>
    <col min="13" max="13" width="14.28515625" style="8" bestFit="1" customWidth="1"/>
    <col min="14" max="14" width="11.140625" style="5" bestFit="1" customWidth="1"/>
    <col min="15" max="15" width="16.28515625" style="5" bestFit="1" customWidth="1"/>
    <col min="16" max="16" width="14.5703125" style="8" bestFit="1" customWidth="1"/>
    <col min="17" max="17" width="11.5703125" style="5" bestFit="1" customWidth="1"/>
    <col min="18" max="16384" width="9.140625" style="5"/>
  </cols>
  <sheetData>
    <row r="1" spans="1:17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M1" s="92"/>
      <c r="P1" s="4"/>
    </row>
    <row r="2" spans="1:17" ht="15" thickTop="1"/>
    <row r="3" spans="1:17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89</v>
      </c>
      <c r="M3" s="4"/>
      <c r="P3" s="4"/>
    </row>
    <row r="4" spans="1:17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M4" s="4"/>
      <c r="Q4" s="4"/>
    </row>
    <row r="5" spans="1:17" s="3" customFormat="1" ht="30" customHeight="1">
      <c r="B5" s="11" t="s">
        <v>7</v>
      </c>
      <c r="C5" s="183" t="s">
        <v>272</v>
      </c>
      <c r="D5" s="183"/>
      <c r="E5" s="183"/>
      <c r="F5" s="15" t="s">
        <v>8</v>
      </c>
      <c r="G5" s="15"/>
      <c r="H5" s="15"/>
      <c r="I5" s="15"/>
      <c r="J5" s="16"/>
      <c r="M5" s="4"/>
      <c r="Q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M6" s="4"/>
      <c r="Q6" s="4"/>
    </row>
    <row r="7" spans="1:17" s="3" customFormat="1" ht="13.5" customHeight="1" thickBot="1">
      <c r="B7" s="23"/>
      <c r="C7" s="24"/>
      <c r="D7" s="24"/>
      <c r="G7" s="25"/>
      <c r="J7" s="26"/>
      <c r="M7" s="4"/>
      <c r="Q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P8" s="5"/>
      <c r="Q8" s="8"/>
    </row>
    <row r="9" spans="1:17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M9" s="34"/>
      <c r="N9" s="98" t="s">
        <v>257</v>
      </c>
      <c r="Q9" s="34"/>
    </row>
    <row r="10" spans="1:17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M10" s="40"/>
      <c r="Q10" s="40"/>
    </row>
    <row r="11" spans="1:17" s="3" customFormat="1" ht="20.100000000000001" customHeight="1">
      <c r="B11" s="41">
        <v>104</v>
      </c>
      <c r="C11" s="42" t="s">
        <v>137</v>
      </c>
      <c r="D11" s="98" t="s">
        <v>270</v>
      </c>
      <c r="E11" s="44"/>
      <c r="F11" s="45"/>
      <c r="G11" s="46"/>
      <c r="H11" s="47"/>
      <c r="I11" s="48"/>
      <c r="J11" s="50"/>
      <c r="K11" s="3">
        <f>413/2</f>
        <v>206.5</v>
      </c>
      <c r="L11" s="3">
        <f>K11/2</f>
        <v>103.25</v>
      </c>
      <c r="M11" s="4">
        <v>413</v>
      </c>
      <c r="N11" s="1"/>
      <c r="O11" s="1"/>
      <c r="P11" s="4"/>
    </row>
    <row r="12" spans="1:17" s="3" customFormat="1" ht="20.100000000000001" customHeight="1">
      <c r="B12" s="41">
        <v>205</v>
      </c>
      <c r="C12" s="42" t="s">
        <v>137</v>
      </c>
      <c r="D12" s="43" t="s">
        <v>271</v>
      </c>
      <c r="E12" s="44"/>
      <c r="F12" s="45"/>
      <c r="G12" s="76"/>
      <c r="H12" s="47"/>
      <c r="I12" s="48"/>
      <c r="J12" s="50"/>
      <c r="K12" s="3">
        <v>408.5</v>
      </c>
      <c r="L12" s="3">
        <f>K12/2</f>
        <v>204.25</v>
      </c>
      <c r="M12" s="93"/>
      <c r="N12" s="5"/>
      <c r="O12" s="5"/>
      <c r="Q12" s="4"/>
    </row>
    <row r="13" spans="1:17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M13" s="93"/>
      <c r="N13" s="5"/>
      <c r="P13" s="90"/>
      <c r="Q13" s="49"/>
    </row>
    <row r="14" spans="1:17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M14" s="4"/>
      <c r="N14" s="1"/>
      <c r="O14" s="1"/>
      <c r="P14" s="4"/>
      <c r="Q14" s="49"/>
    </row>
    <row r="15" spans="1:17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M15" s="4"/>
      <c r="N15" s="1"/>
      <c r="O15" s="1"/>
      <c r="P15" s="4"/>
    </row>
    <row r="16" spans="1:17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93"/>
      <c r="N16" s="5"/>
      <c r="P16" s="90"/>
      <c r="Q16" s="49"/>
    </row>
    <row r="17" spans="2:17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4"/>
      <c r="N17" s="1"/>
      <c r="O17" s="1"/>
      <c r="P17" s="4"/>
      <c r="Q17" s="49"/>
    </row>
    <row r="18" spans="2:17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4"/>
      <c r="N18" s="1"/>
      <c r="O18" s="1"/>
      <c r="P18" s="4"/>
    </row>
    <row r="19" spans="2:17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4"/>
      <c r="N19" s="5"/>
      <c r="O19" s="56"/>
      <c r="P19" s="4"/>
    </row>
    <row r="20" spans="2:17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4"/>
      <c r="N20" s="5"/>
      <c r="P20" s="4"/>
    </row>
    <row r="21" spans="2:17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4"/>
      <c r="N21" s="5"/>
      <c r="P21" s="4"/>
    </row>
    <row r="22" spans="2:17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4"/>
      <c r="N22" s="5"/>
      <c r="P22" s="4"/>
    </row>
    <row r="23" spans="2:17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4"/>
      <c r="N23" s="5"/>
      <c r="P23" s="4"/>
    </row>
    <row r="24" spans="2:17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4"/>
      <c r="N24" s="5"/>
      <c r="P24" s="4"/>
    </row>
    <row r="25" spans="2:17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4">
        <f>6542.48+13381.86+13108.17</f>
        <v>33032.51</v>
      </c>
      <c r="N25" s="5"/>
      <c r="P25" s="4"/>
    </row>
    <row r="26" spans="2:17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0</v>
      </c>
      <c r="K26" s="158"/>
      <c r="L26" s="129"/>
      <c r="M26" s="189">
        <f>SUM(M11:M25)</f>
        <v>33445.51</v>
      </c>
      <c r="N26" s="63"/>
      <c r="P26" s="4"/>
    </row>
    <row r="27" spans="2:17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30"/>
      <c r="M27" s="190"/>
      <c r="N27" s="5"/>
      <c r="P27" s="4"/>
    </row>
    <row r="28" spans="2:17" ht="3.75" customHeight="1">
      <c r="E28" s="64"/>
      <c r="F28" s="64"/>
    </row>
    <row r="29" spans="2:17" ht="3.75" customHeight="1">
      <c r="E29" s="64"/>
      <c r="F29" s="64"/>
    </row>
    <row r="30" spans="2:17">
      <c r="E30" s="65"/>
      <c r="F30" s="65"/>
      <c r="G30" s="65"/>
      <c r="H30" s="65"/>
      <c r="I30" s="65"/>
      <c r="J30" s="65"/>
      <c r="N30" s="63"/>
    </row>
    <row r="31" spans="2:17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M31" s="5"/>
    </row>
    <row r="32" spans="2:17">
      <c r="B32" s="69"/>
      <c r="C32" s="67"/>
      <c r="D32" s="67"/>
      <c r="E32" s="67"/>
      <c r="F32" s="67"/>
      <c r="G32" s="68"/>
      <c r="H32" s="67"/>
      <c r="I32" s="67"/>
      <c r="J32" s="67"/>
      <c r="M32" s="5"/>
    </row>
    <row r="33" spans="2:17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5"/>
      <c r="N33" s="7"/>
    </row>
    <row r="34" spans="2:17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5"/>
      <c r="N34" s="70"/>
    </row>
    <row r="35" spans="2:17">
      <c r="B35" s="7"/>
      <c r="C35" s="67"/>
      <c r="D35" s="66"/>
      <c r="E35" s="68"/>
      <c r="F35" s="67"/>
      <c r="G35" s="67"/>
      <c r="H35" s="67"/>
      <c r="I35" s="67"/>
      <c r="J35" s="68"/>
      <c r="O35" s="70"/>
      <c r="P35" s="5"/>
      <c r="Q35" s="8"/>
    </row>
    <row r="36" spans="2:17">
      <c r="B36" s="7"/>
      <c r="C36" s="68"/>
      <c r="D36" s="68"/>
      <c r="E36" s="67"/>
      <c r="F36" s="67"/>
      <c r="G36" s="67"/>
      <c r="H36" s="67"/>
      <c r="I36" s="67"/>
      <c r="J36" s="67"/>
      <c r="O36" s="70"/>
      <c r="P36" s="5"/>
      <c r="Q36" s="8"/>
    </row>
    <row r="37" spans="2:17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P37" s="5"/>
      <c r="Q37" s="8"/>
    </row>
    <row r="38" spans="2:17">
      <c r="B38" s="7"/>
      <c r="C38" s="68"/>
      <c r="D38" s="68"/>
      <c r="E38" s="67"/>
      <c r="F38" s="67"/>
      <c r="G38" s="67"/>
      <c r="H38" s="67"/>
      <c r="I38" s="67"/>
      <c r="J38" s="67"/>
    </row>
    <row r="39" spans="2:17">
      <c r="C39" s="68"/>
      <c r="D39" s="68"/>
      <c r="E39" s="67"/>
      <c r="F39" s="67"/>
      <c r="G39" s="67"/>
      <c r="H39" s="67"/>
      <c r="I39" s="67"/>
      <c r="J39" s="67"/>
    </row>
    <row r="40" spans="2:17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7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N41" s="73"/>
    </row>
    <row r="42" spans="2:17">
      <c r="B42" s="160"/>
      <c r="C42" s="160"/>
      <c r="E42" s="7"/>
      <c r="F42" s="7"/>
    </row>
    <row r="43" spans="2:17" ht="15.75" customHeight="1"/>
    <row r="45" spans="2:17" ht="15">
      <c r="N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M26:M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A4E03A-45D4-488E-BEBC-402F7DE53130}">
  <sheetPr codeName="Sheet66">
    <tabColor rgb="FF0070C0"/>
  </sheetPr>
  <dimension ref="A1:Q45"/>
  <sheetViews>
    <sheetView view="pageBreakPreview" zoomScale="90" zoomScaleNormal="100" zoomScaleSheetLayoutView="90" workbookViewId="0">
      <selection activeCell="A23" sqref="A23:XFD2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2" width="12.42578125" style="5" customWidth="1"/>
    <col min="13" max="13" width="14.28515625" style="8" bestFit="1" customWidth="1"/>
    <col min="14" max="14" width="11.140625" style="5" bestFit="1" customWidth="1"/>
    <col min="15" max="15" width="16.28515625" style="5" bestFit="1" customWidth="1"/>
    <col min="16" max="16" width="14.5703125" style="8" bestFit="1" customWidth="1"/>
    <col min="17" max="17" width="11.5703125" style="5" bestFit="1" customWidth="1"/>
    <col min="18" max="16384" width="9.140625" style="5"/>
  </cols>
  <sheetData>
    <row r="1" spans="1:17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M1" s="92"/>
      <c r="P1" s="4"/>
    </row>
    <row r="2" spans="1:17" ht="15" thickTop="1"/>
    <row r="3" spans="1:17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88</v>
      </c>
      <c r="M3" s="4"/>
      <c r="P3" s="4"/>
    </row>
    <row r="4" spans="1:17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L4" s="3">
        <f>20*12</f>
        <v>240</v>
      </c>
      <c r="M4" s="4"/>
      <c r="Q4" s="4"/>
    </row>
    <row r="5" spans="1:17" s="3" customFormat="1" ht="30" customHeight="1">
      <c r="B5" s="11" t="s">
        <v>7</v>
      </c>
      <c r="C5" s="183" t="s">
        <v>267</v>
      </c>
      <c r="D5" s="183"/>
      <c r="E5" s="183"/>
      <c r="F5" s="15" t="s">
        <v>8</v>
      </c>
      <c r="G5" s="15"/>
      <c r="H5" s="15"/>
      <c r="I5" s="15"/>
      <c r="J5" s="16"/>
      <c r="L5" s="3">
        <f>230*20</f>
        <v>4600</v>
      </c>
      <c r="M5" s="4"/>
      <c r="Q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M6" s="4"/>
      <c r="Q6" s="4"/>
    </row>
    <row r="7" spans="1:17" s="3" customFormat="1" ht="13.5" customHeight="1" thickBot="1">
      <c r="B7" s="23"/>
      <c r="C7" s="24"/>
      <c r="D7" s="24"/>
      <c r="G7" s="25"/>
      <c r="J7" s="26"/>
      <c r="M7" s="4"/>
      <c r="Q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P8" s="5"/>
      <c r="Q8" s="8"/>
    </row>
    <row r="9" spans="1:17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M9" s="34"/>
      <c r="N9" s="98" t="s">
        <v>257</v>
      </c>
      <c r="Q9" s="34"/>
    </row>
    <row r="10" spans="1:17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M10" s="40"/>
      <c r="Q10" s="40"/>
    </row>
    <row r="11" spans="1:17" s="3" customFormat="1" ht="20.100000000000001" customHeight="1">
      <c r="B11" s="41">
        <v>6542</v>
      </c>
      <c r="C11" s="42" t="s">
        <v>137</v>
      </c>
      <c r="D11" s="98" t="s">
        <v>454</v>
      </c>
      <c r="E11" s="44"/>
      <c r="F11" s="45"/>
      <c r="G11" s="46"/>
      <c r="H11" s="47"/>
      <c r="I11" s="48"/>
      <c r="J11" s="50"/>
      <c r="K11" s="41">
        <f>13084/2</f>
        <v>6542</v>
      </c>
      <c r="L11" s="143">
        <f>K11/2</f>
        <v>3271</v>
      </c>
      <c r="M11" s="4">
        <v>13083</v>
      </c>
      <c r="N11" s="1"/>
      <c r="O11" s="1"/>
      <c r="P11" s="4"/>
    </row>
    <row r="12" spans="1:17" s="3" customFormat="1" ht="20.100000000000001" customHeight="1">
      <c r="B12" s="41">
        <v>609</v>
      </c>
      <c r="C12" s="42" t="s">
        <v>265</v>
      </c>
      <c r="D12" s="43" t="s">
        <v>266</v>
      </c>
      <c r="E12" s="44"/>
      <c r="F12" s="45"/>
      <c r="G12" s="76"/>
      <c r="H12" s="47"/>
      <c r="I12" s="48"/>
      <c r="J12" s="50"/>
      <c r="K12" s="41">
        <f>1218/2</f>
        <v>609</v>
      </c>
      <c r="L12" s="143">
        <f>K12/2</f>
        <v>304.5</v>
      </c>
      <c r="M12" s="93"/>
      <c r="N12" s="5"/>
      <c r="O12" s="5"/>
      <c r="Q12" s="4"/>
    </row>
    <row r="13" spans="1:17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M13" s="93"/>
      <c r="N13" s="5"/>
      <c r="P13" s="90"/>
      <c r="Q13" s="49"/>
    </row>
    <row r="14" spans="1:17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M14" s="4"/>
      <c r="N14" s="1"/>
      <c r="O14" s="1"/>
      <c r="P14" s="4"/>
      <c r="Q14" s="49"/>
    </row>
    <row r="15" spans="1:17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M15" s="4"/>
      <c r="N15" s="1"/>
      <c r="O15" s="1"/>
      <c r="P15" s="4"/>
    </row>
    <row r="16" spans="1:17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93"/>
      <c r="N16" s="5"/>
      <c r="P16" s="90"/>
      <c r="Q16" s="49"/>
    </row>
    <row r="17" spans="2:17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4"/>
      <c r="N17" s="1"/>
      <c r="O17" s="1"/>
      <c r="P17" s="4"/>
      <c r="Q17" s="49"/>
    </row>
    <row r="18" spans="2:17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4"/>
      <c r="N18" s="1"/>
      <c r="O18" s="1"/>
      <c r="P18" s="4"/>
    </row>
    <row r="19" spans="2:17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4"/>
      <c r="N19" s="5"/>
      <c r="O19" s="56"/>
      <c r="P19" s="4"/>
    </row>
    <row r="20" spans="2:17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4"/>
      <c r="N20" s="5"/>
      <c r="P20" s="4"/>
    </row>
    <row r="21" spans="2:17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4"/>
      <c r="N21" s="5"/>
      <c r="P21" s="4"/>
    </row>
    <row r="22" spans="2:17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4"/>
      <c r="N22" s="5"/>
      <c r="P22" s="4"/>
    </row>
    <row r="23" spans="2:17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4"/>
      <c r="N23" s="5"/>
      <c r="P23" s="4"/>
    </row>
    <row r="24" spans="2:17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4"/>
      <c r="N24" s="5"/>
      <c r="P24" s="4"/>
    </row>
    <row r="25" spans="2:17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4">
        <f>6542.48+13381.86+13108.17</f>
        <v>33032.51</v>
      </c>
      <c r="N25" s="5"/>
      <c r="P25" s="4"/>
    </row>
    <row r="26" spans="2:17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0</v>
      </c>
      <c r="K26" s="158"/>
      <c r="L26" s="129"/>
      <c r="M26" s="189">
        <f>SUM(M11:M25)</f>
        <v>46115.51</v>
      </c>
      <c r="N26" s="63"/>
      <c r="P26" s="4"/>
    </row>
    <row r="27" spans="2:17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30"/>
      <c r="M27" s="190"/>
      <c r="N27" s="5"/>
      <c r="P27" s="4"/>
    </row>
    <row r="28" spans="2:17" ht="3.75" customHeight="1">
      <c r="E28" s="64"/>
      <c r="F28" s="64"/>
    </row>
    <row r="29" spans="2:17" ht="3.75" customHeight="1">
      <c r="E29" s="64"/>
      <c r="F29" s="64"/>
    </row>
    <row r="30" spans="2:17">
      <c r="E30" s="65"/>
      <c r="F30" s="65"/>
      <c r="G30" s="65"/>
      <c r="H30" s="65"/>
      <c r="I30" s="65"/>
      <c r="J30" s="65"/>
      <c r="L30" s="8"/>
      <c r="M30" s="63"/>
      <c r="O30" s="8"/>
      <c r="P30" s="5"/>
    </row>
    <row r="31" spans="2:17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M31" s="5"/>
      <c r="O31" s="8"/>
      <c r="P31" s="5"/>
    </row>
    <row r="32" spans="2:17">
      <c r="B32" s="69"/>
      <c r="C32" s="67"/>
      <c r="D32" s="67"/>
      <c r="E32" s="67"/>
      <c r="F32" s="67"/>
      <c r="G32" s="68"/>
      <c r="H32" s="67"/>
      <c r="I32" s="67"/>
      <c r="J32" s="67"/>
      <c r="M32" s="5"/>
      <c r="O32" s="8"/>
      <c r="P32" s="5"/>
    </row>
    <row r="33" spans="2:17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  <c r="O33" s="8"/>
      <c r="P33" s="5"/>
    </row>
    <row r="34" spans="2:17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  <c r="O34" s="8"/>
      <c r="P34" s="5"/>
    </row>
    <row r="35" spans="2:17">
      <c r="B35" s="7"/>
      <c r="C35" s="67"/>
      <c r="D35" s="66"/>
      <c r="E35" s="68"/>
      <c r="F35" s="67"/>
      <c r="G35" s="67"/>
      <c r="H35" s="67"/>
      <c r="I35" s="67"/>
      <c r="J35" s="68"/>
      <c r="L35" s="8"/>
      <c r="M35" s="5"/>
      <c r="N35" s="70"/>
    </row>
    <row r="36" spans="2:17">
      <c r="B36" s="7"/>
      <c r="C36" s="68"/>
      <c r="D36" s="68"/>
      <c r="E36" s="67"/>
      <c r="F36" s="67"/>
      <c r="G36" s="67"/>
      <c r="H36" s="67"/>
      <c r="I36" s="67"/>
      <c r="J36" s="67"/>
      <c r="L36" s="8"/>
      <c r="M36" s="5"/>
      <c r="N36" s="70"/>
    </row>
    <row r="37" spans="2:17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P37" s="5"/>
      <c r="Q37" s="8"/>
    </row>
    <row r="38" spans="2:17">
      <c r="B38" s="7"/>
      <c r="C38" s="68"/>
      <c r="D38" s="68"/>
      <c r="E38" s="67"/>
      <c r="F38" s="67"/>
      <c r="G38" s="67"/>
      <c r="H38" s="67"/>
      <c r="I38" s="67"/>
      <c r="J38" s="67"/>
    </row>
    <row r="39" spans="2:17">
      <c r="C39" s="68"/>
      <c r="D39" s="68"/>
      <c r="E39" s="67"/>
      <c r="F39" s="67"/>
      <c r="G39" s="67"/>
      <c r="H39" s="67"/>
      <c r="I39" s="67"/>
      <c r="J39" s="67"/>
    </row>
    <row r="40" spans="2:17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7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N41" s="73"/>
    </row>
    <row r="42" spans="2:17">
      <c r="B42" s="160"/>
      <c r="C42" s="160"/>
      <c r="E42" s="7"/>
      <c r="F42" s="7"/>
    </row>
    <row r="43" spans="2:17" ht="15.75" customHeight="1"/>
    <row r="45" spans="2:17" ht="15">
      <c r="N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M26:M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F9D2F6-29AC-46C4-A177-25FC2DDF49E1}">
  <sheetPr codeName="Sheet67">
    <tabColor rgb="FF0070C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8.57031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87</v>
      </c>
      <c r="L3" s="4"/>
      <c r="O3" s="4"/>
    </row>
    <row r="4" spans="1:16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3" t="s">
        <v>267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307</v>
      </c>
      <c r="C11" s="42" t="s">
        <v>137</v>
      </c>
      <c r="D11" s="98" t="s">
        <v>268</v>
      </c>
      <c r="E11" s="44"/>
      <c r="F11" s="45"/>
      <c r="G11" s="46"/>
      <c r="H11" s="47"/>
      <c r="I11" s="48"/>
      <c r="J11" s="50"/>
      <c r="K11" s="41">
        <f>614/2</f>
        <v>307</v>
      </c>
      <c r="L11" s="4">
        <f>K11/2</f>
        <v>153.5</v>
      </c>
      <c r="M11" s="1"/>
      <c r="N11" s="1"/>
      <c r="O11" s="4"/>
    </row>
    <row r="12" spans="1:16" s="3" customFormat="1" ht="20.100000000000001" customHeight="1">
      <c r="B12" s="41">
        <v>532</v>
      </c>
      <c r="C12" s="42" t="s">
        <v>137</v>
      </c>
      <c r="D12" s="43" t="s">
        <v>269</v>
      </c>
      <c r="E12" s="44"/>
      <c r="F12" s="45"/>
      <c r="G12" s="76"/>
      <c r="H12" s="47"/>
      <c r="I12" s="48"/>
      <c r="J12" s="50"/>
      <c r="K12" s="41">
        <f>1064/2</f>
        <v>532</v>
      </c>
      <c r="L12" s="4">
        <f>K12/2</f>
        <v>266</v>
      </c>
      <c r="M12" s="5"/>
      <c r="N12" s="5"/>
      <c r="P12" s="4"/>
    </row>
    <row r="13" spans="1:16" s="3" customFormat="1" ht="20.100000000000001" customHeight="1">
      <c r="B13" s="41" t="s">
        <v>584</v>
      </c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0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1960AA-2B28-412A-8AB6-4925B5BF067B}">
  <sheetPr codeName="Sheet68">
    <tabColor rgb="FF0070C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0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86</v>
      </c>
      <c r="L3" s="4"/>
      <c r="O3" s="4"/>
    </row>
    <row r="4" spans="1:16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3" t="s">
        <v>262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387</v>
      </c>
      <c r="C11" s="42" t="s">
        <v>137</v>
      </c>
      <c r="D11" s="98" t="s">
        <v>455</v>
      </c>
      <c r="E11" s="44"/>
      <c r="F11" s="45"/>
      <c r="G11" s="46"/>
      <c r="H11" s="47"/>
      <c r="I11" s="48"/>
      <c r="J11" s="50"/>
      <c r="K11" s="41">
        <f>1548/2</f>
        <v>774</v>
      </c>
      <c r="L11" s="4">
        <f>K11/2</f>
        <v>387</v>
      </c>
      <c r="M11" s="1"/>
      <c r="N11" s="1"/>
      <c r="O11" s="4"/>
    </row>
    <row r="12" spans="1:16" s="3" customFormat="1" ht="20.100000000000001" customHeight="1">
      <c r="B12" s="41">
        <v>221</v>
      </c>
      <c r="C12" s="42" t="s">
        <v>137</v>
      </c>
      <c r="D12" s="43" t="s">
        <v>456</v>
      </c>
      <c r="E12" s="44"/>
      <c r="F12" s="45"/>
      <c r="G12" s="76"/>
      <c r="H12" s="47"/>
      <c r="I12" s="48"/>
      <c r="J12" s="50"/>
      <c r="K12" s="41">
        <f>884/2</f>
        <v>442</v>
      </c>
      <c r="L12" s="4">
        <f>K12/2</f>
        <v>221</v>
      </c>
      <c r="M12" s="5"/>
      <c r="N12" s="5"/>
      <c r="P12" s="4"/>
    </row>
    <row r="13" spans="1:16" s="3" customFormat="1" ht="20.100000000000001" customHeight="1">
      <c r="B13" s="41">
        <v>221</v>
      </c>
      <c r="C13" s="42" t="s">
        <v>137</v>
      </c>
      <c r="D13" s="43" t="s">
        <v>452</v>
      </c>
      <c r="E13" s="44"/>
      <c r="F13" s="45"/>
      <c r="G13" s="89"/>
      <c r="H13" s="47"/>
      <c r="I13" s="48"/>
      <c r="J13" s="50"/>
      <c r="K13" s="41">
        <f>884/2</f>
        <v>442</v>
      </c>
      <c r="L13" s="4">
        <f>K13/2</f>
        <v>221</v>
      </c>
      <c r="M13" s="5"/>
      <c r="O13" s="90"/>
      <c r="P13" s="49"/>
    </row>
    <row r="14" spans="1:16" s="3" customFormat="1" ht="20.100000000000001" customHeight="1">
      <c r="B14" s="41">
        <v>645</v>
      </c>
      <c r="C14" s="42" t="s">
        <v>137</v>
      </c>
      <c r="D14" s="43" t="s">
        <v>457</v>
      </c>
      <c r="E14" s="44"/>
      <c r="F14" s="45"/>
      <c r="G14" s="76"/>
      <c r="H14" s="47"/>
      <c r="I14" s="48"/>
      <c r="J14" s="50"/>
      <c r="K14" s="41">
        <f>2580/2</f>
        <v>1290</v>
      </c>
      <c r="L14" s="4">
        <f>K14/2</f>
        <v>645</v>
      </c>
      <c r="M14" s="1"/>
      <c r="N14" s="1"/>
      <c r="O14" s="4"/>
      <c r="P14" s="49"/>
    </row>
    <row r="15" spans="1:16" s="3" customFormat="1" ht="20.100000000000001" customHeight="1">
      <c r="B15" s="41">
        <v>185</v>
      </c>
      <c r="C15" s="42" t="s">
        <v>265</v>
      </c>
      <c r="D15" s="43" t="s">
        <v>266</v>
      </c>
      <c r="E15" s="44"/>
      <c r="F15" s="45"/>
      <c r="G15" s="89"/>
      <c r="H15" s="47"/>
      <c r="I15" s="48"/>
      <c r="J15" s="50"/>
      <c r="K15" s="41">
        <f>737/2</f>
        <v>368.5</v>
      </c>
      <c r="L15" s="4">
        <f>K15/2</f>
        <v>184.25</v>
      </c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261</v>
      </c>
      <c r="E26" s="170"/>
      <c r="F26" s="173" t="s">
        <v>15</v>
      </c>
      <c r="G26" s="174"/>
      <c r="H26" s="62"/>
      <c r="I26" s="62"/>
      <c r="J26" s="158">
        <f>SUM(J11:J25)</f>
        <v>0</v>
      </c>
      <c r="K26" s="158"/>
      <c r="L26" s="189">
        <f>SUM(L11:L25)</f>
        <v>34690.76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80009-E954-40F3-9019-76EF9D705374}">
  <sheetPr codeName="Sheet69">
    <tabColor rgb="FF0070C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7.140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85</v>
      </c>
      <c r="L3" s="4"/>
      <c r="O3" s="4"/>
    </row>
    <row r="4" spans="1:16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3" t="s">
        <v>262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56</v>
      </c>
      <c r="C11" s="42" t="s">
        <v>137</v>
      </c>
      <c r="D11" s="98" t="s">
        <v>263</v>
      </c>
      <c r="E11" s="44"/>
      <c r="F11" s="45"/>
      <c r="G11" s="46"/>
      <c r="H11" s="47"/>
      <c r="I11" s="48"/>
      <c r="J11" s="50"/>
      <c r="K11" s="41">
        <f>224/2</f>
        <v>112</v>
      </c>
      <c r="L11" s="4">
        <f>K11/2</f>
        <v>56</v>
      </c>
      <c r="M11" s="1"/>
      <c r="N11" s="1"/>
      <c r="O11" s="4"/>
    </row>
    <row r="12" spans="1:16" s="3" customFormat="1" ht="20.100000000000001" customHeight="1">
      <c r="B12" s="41">
        <v>111</v>
      </c>
      <c r="C12" s="42" t="s">
        <v>137</v>
      </c>
      <c r="D12" s="43" t="s">
        <v>264</v>
      </c>
      <c r="E12" s="44"/>
      <c r="F12" s="45"/>
      <c r="G12" s="76"/>
      <c r="H12" s="47"/>
      <c r="I12" s="48"/>
      <c r="J12" s="50"/>
      <c r="K12" s="41">
        <f>442/2</f>
        <v>221</v>
      </c>
      <c r="L12" s="93">
        <f>K12/2</f>
        <v>110.5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0</v>
      </c>
      <c r="K26" s="158"/>
      <c r="L26" s="189">
        <f>SUM(L11:L25)</f>
        <v>33199.01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9F38B0-5A86-4CB2-86AF-3E86517FF37A}">
  <sheetPr codeName="Sheet70">
    <tabColor rgb="FF0070C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7.855468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84</v>
      </c>
      <c r="L3" s="4"/>
      <c r="O3" s="4"/>
    </row>
    <row r="4" spans="1:16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3" t="s">
        <v>256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319</v>
      </c>
      <c r="C11" s="42" t="s">
        <v>137</v>
      </c>
      <c r="D11" s="98" t="s">
        <v>458</v>
      </c>
      <c r="E11" s="44"/>
      <c r="F11" s="45"/>
      <c r="G11" s="46"/>
      <c r="H11" s="47"/>
      <c r="I11" s="48"/>
      <c r="J11" s="50"/>
      <c r="K11" s="41">
        <f>1274/2</f>
        <v>637</v>
      </c>
      <c r="L11" s="4">
        <f>K11/2</f>
        <v>318.5</v>
      </c>
      <c r="M11" s="1"/>
      <c r="N11" s="1"/>
      <c r="O11" s="4"/>
    </row>
    <row r="12" spans="1:16" s="3" customFormat="1" ht="20.100000000000001" customHeight="1">
      <c r="B12" s="41">
        <v>138</v>
      </c>
      <c r="C12" s="42" t="s">
        <v>137</v>
      </c>
      <c r="D12" s="43" t="s">
        <v>459</v>
      </c>
      <c r="E12" s="44"/>
      <c r="F12" s="45"/>
      <c r="G12" s="76"/>
      <c r="H12" s="47"/>
      <c r="I12" s="48"/>
      <c r="J12" s="50"/>
      <c r="K12" s="41">
        <f>550/2</f>
        <v>275</v>
      </c>
      <c r="L12" s="4">
        <f>K12/2</f>
        <v>137.5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261</v>
      </c>
      <c r="E26" s="170"/>
      <c r="F26" s="173" t="s">
        <v>15</v>
      </c>
      <c r="G26" s="174"/>
      <c r="H26" s="62"/>
      <c r="I26" s="62"/>
      <c r="J26" s="158">
        <f>SUM(J11:J25)</f>
        <v>0</v>
      </c>
      <c r="K26" s="158"/>
      <c r="L26" s="189">
        <f>SUM(L11:L25)</f>
        <v>33488.51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FC827-49D5-4568-9872-8C92C267B625}">
  <sheetPr codeName="Sheet71">
    <tabColor rgb="FF0070C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1.425781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83</v>
      </c>
      <c r="L3" s="4"/>
      <c r="O3" s="4"/>
    </row>
    <row r="4" spans="1:16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3" t="s">
        <v>256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f>356/4</f>
        <v>89</v>
      </c>
      <c r="C11" s="42" t="s">
        <v>137</v>
      </c>
      <c r="D11" s="98" t="s">
        <v>458</v>
      </c>
      <c r="E11" s="44"/>
      <c r="F11" s="45"/>
      <c r="G11" s="46"/>
      <c r="H11" s="47"/>
      <c r="I11" s="48"/>
      <c r="J11" s="50"/>
      <c r="K11" s="41">
        <f>356/2</f>
        <v>178</v>
      </c>
      <c r="L11" s="4">
        <f>K11/2</f>
        <v>89</v>
      </c>
      <c r="M11" s="1"/>
      <c r="N11" s="1"/>
      <c r="O11" s="4"/>
    </row>
    <row r="12" spans="1:16" s="3" customFormat="1" ht="20.100000000000001" customHeight="1">
      <c r="B12" s="41">
        <v>314</v>
      </c>
      <c r="C12" s="42" t="s">
        <v>137</v>
      </c>
      <c r="D12" s="43" t="s">
        <v>460</v>
      </c>
      <c r="E12" s="44"/>
      <c r="F12" s="45"/>
      <c r="G12" s="76"/>
      <c r="H12" s="47"/>
      <c r="I12" s="48"/>
      <c r="J12" s="50"/>
      <c r="K12" s="41">
        <f>1254/2</f>
        <v>627</v>
      </c>
      <c r="L12" s="4">
        <f>K12/2</f>
        <v>313.5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0</v>
      </c>
      <c r="K26" s="158"/>
      <c r="L26" s="189">
        <f>SUM(L11:L25)</f>
        <v>33435.01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BB2383-AD2F-4E78-BE34-5763B0F4B7A2}">
  <sheetPr codeName="Sheet72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192</v>
      </c>
      <c r="D3" s="188"/>
      <c r="E3" s="188"/>
      <c r="F3" s="10" t="s">
        <v>3</v>
      </c>
      <c r="G3" s="10"/>
      <c r="H3" s="10"/>
      <c r="I3" s="10"/>
      <c r="J3" s="75">
        <v>76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195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195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254</v>
      </c>
      <c r="E13" s="44"/>
      <c r="F13" s="45">
        <v>9000</v>
      </c>
      <c r="G13" s="46"/>
      <c r="H13" s="47"/>
      <c r="I13" s="48"/>
      <c r="J13" s="50">
        <f>F13</f>
        <v>9000</v>
      </c>
      <c r="L13" s="1"/>
      <c r="M13" s="1"/>
      <c r="N13" s="1">
        <f>46*180</f>
        <v>8280</v>
      </c>
      <c r="O13" s="4">
        <f>7000/180</f>
        <v>38.888888888888886</v>
      </c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>
        <f>39*180</f>
        <v>7020</v>
      </c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9000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795838-00FB-432E-8FB3-3C067CCA0045}">
  <sheetPr>
    <tabColor rgb="FF00B0F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206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669</v>
      </c>
      <c r="D4" s="13"/>
      <c r="E4" s="13"/>
      <c r="F4" s="14" t="s">
        <v>6</v>
      </c>
      <c r="G4" s="15"/>
      <c r="H4" s="15"/>
      <c r="I4" s="15"/>
      <c r="J4" s="16">
        <v>45464</v>
      </c>
      <c r="L4" s="17"/>
      <c r="P4" s="4"/>
    </row>
    <row r="5" spans="1:16" s="3" customFormat="1" ht="30" customHeight="1">
      <c r="B5" s="11" t="s">
        <v>7</v>
      </c>
      <c r="C5" s="79" t="s">
        <v>644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10</v>
      </c>
      <c r="C11" s="42" t="s">
        <v>137</v>
      </c>
      <c r="D11" s="43" t="s">
        <v>670</v>
      </c>
      <c r="E11" s="44"/>
      <c r="F11" s="45">
        <v>300</v>
      </c>
      <c r="G11" s="76"/>
      <c r="H11" s="47"/>
      <c r="I11" s="48"/>
      <c r="J11" s="50">
        <f>F11*B11</f>
        <v>3000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77"/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46"/>
      <c r="H13" s="47"/>
      <c r="I13" s="48"/>
      <c r="J13" s="50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1:F1"/>
    <mergeCell ref="G1:J1"/>
    <mergeCell ref="C3:E3"/>
    <mergeCell ref="D9:E9"/>
    <mergeCell ref="F9:H9"/>
    <mergeCell ref="D10:E10"/>
    <mergeCell ref="F10:G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D3BD59-422D-49D5-B664-140B0FD7A208}">
  <sheetPr codeName="Sheet73">
    <tabColor rgb="FFC00000"/>
  </sheetPr>
  <dimension ref="A1:P45"/>
  <sheetViews>
    <sheetView view="pageBreakPreview" topLeftCell="C1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44</v>
      </c>
      <c r="D3" s="188"/>
      <c r="E3" s="188"/>
      <c r="F3" s="10" t="s">
        <v>3</v>
      </c>
      <c r="G3" s="10"/>
      <c r="H3" s="10"/>
      <c r="I3" s="10"/>
      <c r="J3" s="75">
        <v>75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253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B626C-BDD2-4A3C-814C-8793B37588B4}">
  <sheetPr codeName="Sheet74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52</v>
      </c>
      <c r="D3" s="188"/>
      <c r="E3" s="188"/>
      <c r="F3" s="10" t="s">
        <v>3</v>
      </c>
      <c r="G3" s="10"/>
      <c r="H3" s="10"/>
      <c r="I3" s="10"/>
      <c r="J3" s="75">
        <v>74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183" t="s">
        <v>54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255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252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480340-72CF-4D8A-BF1B-5B2BA860074E}">
  <sheetPr codeName="Sheet75">
    <tabColor rgb="FFC00000"/>
  </sheetPr>
  <dimension ref="A1:P45"/>
  <sheetViews>
    <sheetView view="pageBreakPreview" topLeftCell="A7" zoomScale="90" zoomScaleNormal="100" zoomScaleSheetLayoutView="90" workbookViewId="0">
      <selection activeCell="F21" sqref="F2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36</v>
      </c>
      <c r="D3" s="188"/>
      <c r="E3" s="188"/>
      <c r="F3" s="10" t="s">
        <v>3</v>
      </c>
      <c r="G3" s="10"/>
      <c r="H3" s="10"/>
      <c r="I3" s="10"/>
      <c r="J3" s="75">
        <v>73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251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6B05B-96D7-4A90-A388-2FA11DAA801C}">
  <sheetPr codeName="Sheet76">
    <tabColor rgb="FFC00000"/>
  </sheetPr>
  <dimension ref="A1:P45"/>
  <sheetViews>
    <sheetView view="pageBreakPreview" zoomScale="80" zoomScaleNormal="100" zoomScaleSheetLayoutView="80" workbookViewId="0">
      <selection activeCell="C5" sqref="C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/>
      <c r="D3" s="188"/>
      <c r="E3" s="188"/>
      <c r="F3" s="10" t="s">
        <v>3</v>
      </c>
      <c r="G3" s="10"/>
      <c r="H3" s="10"/>
      <c r="I3" s="10"/>
      <c r="J3" s="75">
        <v>70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244</v>
      </c>
      <c r="D4" s="13"/>
      <c r="E4" s="13"/>
      <c r="F4" s="14" t="s">
        <v>6</v>
      </c>
      <c r="G4" s="15"/>
      <c r="H4" s="15"/>
      <c r="I4" s="15"/>
      <c r="J4" s="16">
        <v>45359</v>
      </c>
      <c r="L4" s="17"/>
      <c r="P4" s="4"/>
    </row>
    <row r="5" spans="1:16" s="3" customFormat="1" ht="30" customHeight="1">
      <c r="B5" s="11" t="s">
        <v>7</v>
      </c>
      <c r="C5" s="79" t="s">
        <v>245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203" t="s">
        <v>246</v>
      </c>
      <c r="E11" s="194"/>
      <c r="F11" s="45">
        <v>7000</v>
      </c>
      <c r="G11" s="76"/>
      <c r="H11" s="47"/>
      <c r="I11" s="48"/>
      <c r="J11" s="50">
        <f>F11</f>
        <v>7000</v>
      </c>
      <c r="M11" s="5"/>
      <c r="N11" s="5"/>
      <c r="P11" s="4"/>
    </row>
    <row r="12" spans="1:16" s="3" customFormat="1" ht="20.100000000000001" customHeight="1">
      <c r="B12" s="41"/>
      <c r="C12" s="42"/>
      <c r="D12" s="96" t="s">
        <v>247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96" t="s">
        <v>248</v>
      </c>
      <c r="E13" s="44"/>
      <c r="F13" s="45"/>
      <c r="G13" s="46"/>
      <c r="H13" s="47"/>
      <c r="I13" s="48"/>
      <c r="J13" s="50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96" t="s">
        <v>249</v>
      </c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 t="s">
        <v>250</v>
      </c>
      <c r="E16" s="44"/>
      <c r="F16" s="45">
        <v>500</v>
      </c>
      <c r="G16" s="46"/>
      <c r="H16" s="47"/>
      <c r="I16" s="48"/>
      <c r="J16" s="50">
        <f>F16</f>
        <v>500</v>
      </c>
      <c r="M16" s="5"/>
      <c r="O16" s="4"/>
    </row>
    <row r="17" spans="2:15" s="3" customFormat="1" ht="20.100000000000001" customHeight="1">
      <c r="B17" s="41"/>
      <c r="C17" s="42"/>
      <c r="D17" s="95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97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743632-8474-4DC0-BF88-DC8876C9D14A}">
  <sheetPr codeName="Sheet77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239</v>
      </c>
      <c r="D3" s="188"/>
      <c r="E3" s="188"/>
      <c r="F3" s="10" t="s">
        <v>3</v>
      </c>
      <c r="G3" s="10"/>
      <c r="H3" s="10"/>
      <c r="I3" s="10"/>
      <c r="J3" s="75">
        <v>69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45359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242</v>
      </c>
      <c r="E13" s="44"/>
      <c r="F13" s="45">
        <v>7000</v>
      </c>
      <c r="G13" s="46"/>
      <c r="H13" s="47"/>
      <c r="I13" s="48"/>
      <c r="J13" s="50">
        <f>F13</f>
        <v>7000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243</v>
      </c>
      <c r="E14" s="44"/>
      <c r="F14" s="45">
        <v>7000</v>
      </c>
      <c r="G14" s="46"/>
      <c r="H14" s="47"/>
      <c r="I14" s="48"/>
      <c r="J14" s="50">
        <f>F14</f>
        <v>7000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14000</v>
      </c>
      <c r="M26" s="63"/>
      <c r="O26" s="4">
        <f>10000-O25</f>
        <v>165.29999999999927</v>
      </c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EF0193-3859-4D5F-8895-F2BC20EC886B}">
  <sheetPr codeName="Sheet78">
    <tabColor rgb="FFC00000"/>
  </sheetPr>
  <dimension ref="A1:P45"/>
  <sheetViews>
    <sheetView view="pageBreakPreview" zoomScale="80" zoomScaleNormal="100" zoomScaleSheetLayoutView="8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72</v>
      </c>
      <c r="D3" s="195"/>
      <c r="E3" s="195"/>
      <c r="F3" s="10" t="s">
        <v>3</v>
      </c>
      <c r="G3" s="10"/>
      <c r="H3" s="10"/>
      <c r="I3" s="10"/>
      <c r="J3" s="75">
        <v>59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238</v>
      </c>
      <c r="D4" s="13"/>
      <c r="E4" s="13"/>
      <c r="F4" s="14" t="s">
        <v>6</v>
      </c>
      <c r="G4" s="15"/>
      <c r="H4" s="15"/>
      <c r="I4" s="15"/>
      <c r="J4" s="16">
        <v>45356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235</v>
      </c>
      <c r="E11" s="197"/>
      <c r="F11" s="45">
        <v>659.62</v>
      </c>
      <c r="G11" s="76"/>
      <c r="H11" s="47"/>
      <c r="I11" s="48"/>
      <c r="J11" s="50">
        <f>F11</f>
        <v>659.62</v>
      </c>
      <c r="L11" s="87">
        <f>1254-J11</f>
        <v>594.38</v>
      </c>
      <c r="M11" s="5"/>
      <c r="N11" s="5"/>
      <c r="P11" s="4"/>
    </row>
    <row r="12" spans="1:16" s="3" customFormat="1" ht="20.100000000000001" customHeight="1">
      <c r="B12" s="41"/>
      <c r="C12" s="42"/>
      <c r="D12" s="43" t="s">
        <v>79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80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81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82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659.62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B42:C42"/>
    <mergeCell ref="D23:E23"/>
    <mergeCell ref="D24:E24"/>
    <mergeCell ref="B26:B27"/>
    <mergeCell ref="C26:C27"/>
    <mergeCell ref="D26:E27"/>
    <mergeCell ref="F26:G27"/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28E45B-CD0D-4B9F-9136-B92557C71B2B}">
  <sheetPr codeName="Sheet79">
    <tabColor rgb="FFC00000"/>
  </sheetPr>
  <dimension ref="A1:Q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7" ht="15" thickTop="1"/>
    <row r="3" spans="1:17" s="3" customFormat="1" ht="30" customHeight="1">
      <c r="B3" s="9" t="s">
        <v>2</v>
      </c>
      <c r="C3" s="188" t="s">
        <v>83</v>
      </c>
      <c r="D3" s="188"/>
      <c r="E3" s="188"/>
      <c r="F3" s="10" t="s">
        <v>3</v>
      </c>
      <c r="G3" s="10"/>
      <c r="H3" s="10"/>
      <c r="I3" s="10"/>
      <c r="J3" s="75">
        <v>57</v>
      </c>
      <c r="O3" s="4"/>
    </row>
    <row r="4" spans="1:17" s="3" customFormat="1" ht="30" customHeight="1">
      <c r="B4" s="11" t="s">
        <v>5</v>
      </c>
      <c r="C4" s="12" t="s">
        <v>236</v>
      </c>
      <c r="D4" s="13"/>
      <c r="E4" s="13"/>
      <c r="F4" s="14" t="s">
        <v>6</v>
      </c>
      <c r="G4" s="15"/>
      <c r="H4" s="15"/>
      <c r="I4" s="15"/>
      <c r="J4" s="16">
        <v>45349</v>
      </c>
      <c r="L4" s="17"/>
      <c r="P4" s="4"/>
    </row>
    <row r="5" spans="1:17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  <c r="Q6" s="86"/>
    </row>
    <row r="7" spans="1:17" s="3" customFormat="1" ht="13.5" customHeight="1" thickBot="1">
      <c r="B7" s="23"/>
      <c r="C7" s="24"/>
      <c r="D7" s="24"/>
      <c r="G7" s="25"/>
      <c r="J7" s="26"/>
      <c r="P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7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7" s="3" customFormat="1" ht="20.100000000000001" customHeight="1">
      <c r="B11" s="41"/>
      <c r="C11" s="42"/>
      <c r="D11" s="196" t="s">
        <v>237</v>
      </c>
      <c r="E11" s="197"/>
      <c r="F11" s="45">
        <v>126</v>
      </c>
      <c r="G11" s="76"/>
      <c r="H11" s="47"/>
      <c r="I11" s="48"/>
      <c r="J11" s="50">
        <f>F11</f>
        <v>126</v>
      </c>
      <c r="L11" s="85"/>
      <c r="M11" s="5"/>
      <c r="N11" s="5"/>
      <c r="P11" s="4"/>
    </row>
    <row r="12" spans="1:17" s="3" customFormat="1" ht="20.100000000000001" customHeight="1">
      <c r="B12" s="41"/>
      <c r="C12" s="42"/>
      <c r="D12" s="82" t="s">
        <v>85</v>
      </c>
      <c r="E12" s="83"/>
      <c r="F12" s="45">
        <v>10</v>
      </c>
      <c r="G12" s="46"/>
      <c r="H12" s="47"/>
      <c r="I12" s="48"/>
      <c r="J12" s="50">
        <f>F12</f>
        <v>10</v>
      </c>
      <c r="M12" s="1"/>
      <c r="N12" s="1"/>
      <c r="O12" s="4"/>
    </row>
    <row r="13" spans="1:17" s="3" customFormat="1" ht="20.100000000000001" customHeight="1">
      <c r="B13" s="41"/>
      <c r="C13" s="42"/>
      <c r="D13" s="82" t="s">
        <v>86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7" s="3" customFormat="1" ht="20.100000000000001" customHeight="1">
      <c r="B14" s="41"/>
      <c r="C14" s="42"/>
      <c r="D14" s="82" t="s">
        <v>87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7" s="3" customFormat="1" ht="20.100000000000001" customHeight="1">
      <c r="B15" s="41"/>
      <c r="C15" s="42"/>
      <c r="D15" s="82" t="s">
        <v>88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7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5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5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136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9">
    <mergeCell ref="B42:C42"/>
    <mergeCell ref="D24:E24"/>
    <mergeCell ref="B26:B27"/>
    <mergeCell ref="C26:C27"/>
    <mergeCell ref="D26:E27"/>
    <mergeCell ref="F26:G27"/>
    <mergeCell ref="J26:J27"/>
    <mergeCell ref="D10:E10"/>
    <mergeCell ref="F10:G10"/>
    <mergeCell ref="D11:E11"/>
    <mergeCell ref="D18:E18"/>
    <mergeCell ref="D22:E22"/>
    <mergeCell ref="D23:E23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E059AE-52EA-4F61-B3BC-3FE73B820A3A}">
  <sheetPr codeName="Sheet80">
    <tabColor rgb="FFC00000"/>
  </sheetPr>
  <dimension ref="A1:P45"/>
  <sheetViews>
    <sheetView view="pageBreakPreview" zoomScaleNormal="100" zoomScaleSheetLayoutView="100" workbookViewId="0">
      <selection activeCell="F11" sqref="F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72</v>
      </c>
      <c r="D3" s="195"/>
      <c r="E3" s="195"/>
      <c r="F3" s="10" t="s">
        <v>3</v>
      </c>
      <c r="G3" s="10"/>
      <c r="H3" s="10"/>
      <c r="I3" s="10"/>
      <c r="J3" s="75">
        <v>56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126</v>
      </c>
      <c r="D4" s="13"/>
      <c r="E4" s="13"/>
      <c r="F4" s="14" t="s">
        <v>6</v>
      </c>
      <c r="G4" s="15"/>
      <c r="H4" s="15"/>
      <c r="I4" s="15"/>
      <c r="J4" s="16">
        <v>45349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235</v>
      </c>
      <c r="E11" s="197"/>
      <c r="F11" s="45">
        <f>2144.14-500</f>
        <v>1644.1399999999999</v>
      </c>
      <c r="G11" s="76"/>
      <c r="H11" s="47"/>
      <c r="I11" s="48"/>
      <c r="J11" s="50">
        <f>F11</f>
        <v>1644.1399999999999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 t="s">
        <v>127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128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129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130</v>
      </c>
      <c r="E26" s="170"/>
      <c r="F26" s="173" t="s">
        <v>15</v>
      </c>
      <c r="G26" s="174"/>
      <c r="H26" s="62"/>
      <c r="I26" s="62"/>
      <c r="J26" s="158">
        <f>SUM(J11:J25)</f>
        <v>1644.1399999999999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0:E10"/>
    <mergeCell ref="F10:G10"/>
    <mergeCell ref="D11:E11"/>
    <mergeCell ref="D17:E17"/>
    <mergeCell ref="D18:E18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4BE3B2-29C3-4399-BF08-535CA723D8A9}">
  <sheetPr codeName="Sheet81">
    <tabColor rgb="FFC00000"/>
  </sheetPr>
  <dimension ref="A1:P45"/>
  <sheetViews>
    <sheetView view="pageBreakPreview" topLeftCell="C1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232</v>
      </c>
      <c r="D3" s="195"/>
      <c r="E3" s="195"/>
      <c r="F3" s="10" t="s">
        <v>3</v>
      </c>
      <c r="G3" s="10"/>
      <c r="H3" s="10"/>
      <c r="I3" s="10"/>
      <c r="J3" s="75">
        <v>48</v>
      </c>
      <c r="O3" s="4"/>
    </row>
    <row r="4" spans="1:16" s="3" customFormat="1" ht="30" customHeight="1">
      <c r="B4" s="11" t="s">
        <v>5</v>
      </c>
      <c r="C4" s="12" t="s">
        <v>233</v>
      </c>
      <c r="D4" s="13"/>
      <c r="E4" s="13"/>
      <c r="F4" s="14" t="s">
        <v>6</v>
      </c>
      <c r="G4" s="15"/>
      <c r="H4" s="15"/>
      <c r="I4" s="15"/>
      <c r="J4" s="16">
        <v>45343</v>
      </c>
      <c r="L4" s="17"/>
      <c r="P4" s="4"/>
    </row>
    <row r="5" spans="1:16" s="3" customFormat="1" ht="30" customHeight="1">
      <c r="B5" s="11" t="s">
        <v>7</v>
      </c>
      <c r="C5" s="183" t="s">
        <v>92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234</v>
      </c>
      <c r="E11" s="44"/>
      <c r="F11" s="45">
        <v>830</v>
      </c>
      <c r="G11" s="76"/>
      <c r="H11" s="47"/>
      <c r="I11" s="48"/>
      <c r="J11" s="50">
        <f>F11</f>
        <v>830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830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9">
    <mergeCell ref="D10:E10"/>
    <mergeCell ref="F10:G10"/>
    <mergeCell ref="D17:E17"/>
    <mergeCell ref="D18:E18"/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C13AF-4769-4D85-8F28-F750ED72245B}">
  <sheetPr codeName="Sheet82">
    <tabColor rgb="FF0070C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231</v>
      </c>
      <c r="D3" s="187"/>
      <c r="E3" s="187"/>
      <c r="F3" s="10" t="s">
        <v>3</v>
      </c>
      <c r="G3" s="10"/>
      <c r="H3" s="10"/>
      <c r="I3" s="10"/>
      <c r="J3" s="75">
        <v>47</v>
      </c>
      <c r="L3" s="4"/>
      <c r="O3" s="4"/>
    </row>
    <row r="4" spans="1:16" s="3" customFormat="1" ht="30" customHeight="1">
      <c r="B4" s="11" t="s">
        <v>5</v>
      </c>
      <c r="C4" s="12" t="s">
        <v>224</v>
      </c>
      <c r="D4" s="13"/>
      <c r="E4" s="13"/>
      <c r="F4" s="14" t="s">
        <v>6</v>
      </c>
      <c r="G4" s="15"/>
      <c r="H4" s="15"/>
      <c r="I4" s="15"/>
      <c r="J4" s="16">
        <v>45343</v>
      </c>
      <c r="L4" s="4"/>
      <c r="P4" s="4"/>
    </row>
    <row r="5" spans="1:16" s="3" customFormat="1" ht="30" customHeight="1">
      <c r="B5" s="11" t="s">
        <v>7</v>
      </c>
      <c r="C5" s="183" t="s">
        <v>225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43" t="s">
        <v>226</v>
      </c>
      <c r="E11" s="44"/>
      <c r="F11" s="45">
        <f>3589.25+2953.23</f>
        <v>6542.48</v>
      </c>
      <c r="G11" s="46"/>
      <c r="H11" s="47"/>
      <c r="I11" s="48"/>
      <c r="J11" s="50">
        <f>F11</f>
        <v>6542.48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 t="s">
        <v>227</v>
      </c>
      <c r="E12" s="44"/>
      <c r="F12" s="45">
        <f>3588.39+2952.54</f>
        <v>6540.93</v>
      </c>
      <c r="G12" s="76"/>
      <c r="H12" s="47"/>
      <c r="I12" s="48"/>
      <c r="J12" s="50">
        <f>F12</f>
        <v>6540.93</v>
      </c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 t="s">
        <v>228</v>
      </c>
      <c r="E13" s="44"/>
      <c r="F13" s="45">
        <f>3888.39+2952.54</f>
        <v>6840.93</v>
      </c>
      <c r="G13" s="89"/>
      <c r="H13" s="47"/>
      <c r="I13" s="48"/>
      <c r="J13" s="50">
        <f>F13</f>
        <v>6840.93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 t="s">
        <v>229</v>
      </c>
      <c r="E14" s="44"/>
      <c r="F14" s="45">
        <f>3588.94+2952.98</f>
        <v>6541.92</v>
      </c>
      <c r="G14" s="76"/>
      <c r="H14" s="47"/>
      <c r="I14" s="48"/>
      <c r="J14" s="50">
        <f>F14</f>
        <v>6541.92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 t="s">
        <v>230</v>
      </c>
      <c r="E15" s="44"/>
      <c r="F15" s="45">
        <f>3602.5+2963.75</f>
        <v>6566.25</v>
      </c>
      <c r="G15" s="89"/>
      <c r="H15" s="47"/>
      <c r="I15" s="48"/>
      <c r="J15" s="50">
        <f>F15</f>
        <v>6566.25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33032.51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3F756-3422-43AF-9A4A-220D03B14973}">
  <sheetPr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666</v>
      </c>
      <c r="D3" s="191"/>
      <c r="E3" s="191"/>
      <c r="F3" s="10" t="s">
        <v>3</v>
      </c>
      <c r="G3" s="10"/>
      <c r="H3" s="10"/>
      <c r="I3" s="10"/>
      <c r="J3" s="75">
        <v>205</v>
      </c>
      <c r="L3" s="4"/>
      <c r="O3" s="4"/>
    </row>
    <row r="4" spans="1:16" s="3" customFormat="1" ht="30" customHeight="1">
      <c r="B4" s="11" t="s">
        <v>5</v>
      </c>
      <c r="C4" s="12" t="s">
        <v>667</v>
      </c>
      <c r="D4" s="13"/>
      <c r="E4" s="13"/>
      <c r="F4" s="14" t="s">
        <v>6</v>
      </c>
      <c r="G4" s="15"/>
      <c r="H4" s="15"/>
      <c r="I4" s="15"/>
      <c r="J4" s="16">
        <v>45463</v>
      </c>
      <c r="L4" s="4"/>
      <c r="P4" s="4"/>
    </row>
    <row r="5" spans="1:16" s="3" customFormat="1" ht="30" customHeight="1">
      <c r="B5" s="11" t="s">
        <v>7</v>
      </c>
      <c r="C5" s="192" t="s">
        <v>611</v>
      </c>
      <c r="D5" s="192"/>
      <c r="E5" s="19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668</v>
      </c>
      <c r="E11" s="44"/>
      <c r="F11" s="45">
        <v>10800</v>
      </c>
      <c r="G11" s="76"/>
      <c r="H11" s="47"/>
      <c r="I11" s="48"/>
      <c r="J11" s="50">
        <f>F11*B11</f>
        <v>10800</v>
      </c>
      <c r="L11"/>
      <c r="M11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110"/>
      <c r="G12" s="155"/>
      <c r="H12" s="47"/>
      <c r="I12" s="48"/>
      <c r="J12" s="50"/>
      <c r="L12"/>
      <c r="M12"/>
      <c r="O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10800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E29FC7-198E-4DEA-B3BD-88D4A516C72A}">
  <sheetPr codeName="Sheet83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209</v>
      </c>
      <c r="D3" s="188"/>
      <c r="E3" s="188"/>
      <c r="F3" s="10" t="s">
        <v>3</v>
      </c>
      <c r="G3" s="10"/>
      <c r="H3" s="10"/>
      <c r="I3" s="10"/>
      <c r="J3" s="75">
        <v>46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210</v>
      </c>
      <c r="D4" s="13"/>
      <c r="E4" s="13"/>
      <c r="F4" s="14" t="s">
        <v>6</v>
      </c>
      <c r="G4" s="15"/>
      <c r="H4" s="15"/>
      <c r="I4" s="15"/>
      <c r="J4" s="16">
        <v>45341</v>
      </c>
      <c r="L4" s="17"/>
      <c r="P4" s="4"/>
    </row>
    <row r="5" spans="1:16" s="3" customFormat="1" ht="30" customHeight="1">
      <c r="B5" s="11" t="s">
        <v>7</v>
      </c>
      <c r="C5" s="79" t="s">
        <v>114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212</v>
      </c>
      <c r="E11" s="194"/>
      <c r="F11" s="45">
        <f>150+570</f>
        <v>720</v>
      </c>
      <c r="G11" s="76"/>
      <c r="H11" s="47"/>
      <c r="I11" s="48"/>
      <c r="J11" s="94">
        <f>F11</f>
        <v>720</v>
      </c>
      <c r="L11" s="3">
        <v>150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213</v>
      </c>
      <c r="E12" s="44"/>
      <c r="F12" s="45">
        <v>500</v>
      </c>
      <c r="G12" s="76"/>
      <c r="H12" s="47"/>
      <c r="I12" s="48"/>
      <c r="J12" s="50">
        <f>F12</f>
        <v>500</v>
      </c>
      <c r="L12" s="1"/>
      <c r="M12" s="1"/>
      <c r="N12" s="1">
        <f>470+280+250+100</f>
        <v>1100</v>
      </c>
      <c r="O12" s="4"/>
    </row>
    <row r="13" spans="1:16" s="3" customFormat="1" ht="20.100000000000001" customHeight="1">
      <c r="B13" s="41"/>
      <c r="C13" s="42"/>
      <c r="D13" s="77" t="s">
        <v>214</v>
      </c>
      <c r="E13" s="44"/>
      <c r="F13" s="45">
        <v>850</v>
      </c>
      <c r="G13" s="46"/>
      <c r="H13" s="47"/>
      <c r="I13" s="48"/>
      <c r="J13" s="94">
        <f>F13</f>
        <v>850</v>
      </c>
      <c r="L13" s="1">
        <v>850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215</v>
      </c>
      <c r="E14" s="44"/>
      <c r="F14" s="45">
        <f>470+280+250+100+130+210</f>
        <v>1440</v>
      </c>
      <c r="G14" s="46"/>
      <c r="H14" s="47"/>
      <c r="I14" s="48"/>
      <c r="J14" s="50">
        <f>F14</f>
        <v>1440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 t="s">
        <v>211</v>
      </c>
      <c r="E26" s="170"/>
      <c r="F26" s="173" t="s">
        <v>15</v>
      </c>
      <c r="G26" s="174"/>
      <c r="H26" s="62"/>
      <c r="I26" s="62"/>
      <c r="J26" s="158">
        <f>SUM(J11:J25)</f>
        <v>3510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64C333-A10E-4506-A870-60342D1BCF30}">
  <sheetPr codeName="Sheet84">
    <tabColor rgb="FFC00000"/>
  </sheetPr>
  <dimension ref="A1:P45"/>
  <sheetViews>
    <sheetView view="pageBreakPreview" zoomScale="90" zoomScaleNormal="100" zoomScaleSheetLayoutView="90" workbookViewId="0">
      <selection activeCell="D15" sqref="D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220</v>
      </c>
      <c r="D3" s="187"/>
      <c r="E3" s="187"/>
      <c r="F3" s="10" t="s">
        <v>3</v>
      </c>
      <c r="G3" s="10"/>
      <c r="H3" s="10"/>
      <c r="I3" s="10"/>
      <c r="J3" s="75">
        <v>45</v>
      </c>
      <c r="L3" s="4"/>
      <c r="O3" s="4"/>
    </row>
    <row r="4" spans="1:16" s="3" customFormat="1" ht="30" customHeight="1">
      <c r="B4" s="11" t="s">
        <v>5</v>
      </c>
      <c r="C4" s="12" t="s">
        <v>221</v>
      </c>
      <c r="D4" s="13"/>
      <c r="E4" s="13"/>
      <c r="F4" s="14" t="s">
        <v>6</v>
      </c>
      <c r="G4" s="15"/>
      <c r="H4" s="15"/>
      <c r="I4" s="15"/>
      <c r="J4" s="16">
        <v>45342</v>
      </c>
      <c r="L4" s="4"/>
      <c r="P4" s="4"/>
    </row>
    <row r="5" spans="1:16" s="3" customFormat="1" ht="30" customHeight="1">
      <c r="B5" s="11" t="s">
        <v>7</v>
      </c>
      <c r="C5" s="183" t="s">
        <v>54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43" t="s">
        <v>222</v>
      </c>
      <c r="E11" s="44"/>
      <c r="F11" s="45">
        <v>2212</v>
      </c>
      <c r="G11" s="46"/>
      <c r="H11" s="47"/>
      <c r="I11" s="48"/>
      <c r="J11" s="50">
        <f>F11</f>
        <v>2212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89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223</v>
      </c>
      <c r="E26" s="170"/>
      <c r="F26" s="173" t="s">
        <v>15</v>
      </c>
      <c r="G26" s="174"/>
      <c r="H26" s="62"/>
      <c r="I26" s="62"/>
      <c r="J26" s="158">
        <f>SUM(J11:J25)</f>
        <v>2212</v>
      </c>
      <c r="K26" s="158"/>
      <c r="L26" s="189">
        <f>SUM(L11:L25)</f>
        <v>0</v>
      </c>
      <c r="M26" s="63">
        <f>57420-L26</f>
        <v>57420</v>
      </c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0CF299-29F6-4BFA-B010-BA46EB3F8ADD}">
  <sheetPr codeName="Sheet85">
    <tabColor rgb="FF00B0F0"/>
  </sheetPr>
  <dimension ref="A1:P45"/>
  <sheetViews>
    <sheetView view="pageBreakPreview" topLeftCell="A4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202</v>
      </c>
      <c r="D3" s="187"/>
      <c r="E3" s="187"/>
      <c r="F3" s="10" t="s">
        <v>3</v>
      </c>
      <c r="G3" s="10"/>
      <c r="H3" s="10"/>
      <c r="I3" s="10"/>
      <c r="J3" s="75">
        <v>44</v>
      </c>
      <c r="L3" s="4"/>
      <c r="O3" s="4"/>
    </row>
    <row r="4" spans="1:16" s="3" customFormat="1" ht="30" customHeight="1">
      <c r="B4" s="11" t="s">
        <v>5</v>
      </c>
      <c r="C4" s="12" t="s">
        <v>203</v>
      </c>
      <c r="D4" s="13"/>
      <c r="E4" s="13"/>
      <c r="F4" s="14" t="s">
        <v>6</v>
      </c>
      <c r="G4" s="15"/>
      <c r="H4" s="15"/>
      <c r="I4" s="15"/>
      <c r="J4" s="16">
        <v>45342</v>
      </c>
      <c r="L4" s="4"/>
      <c r="P4" s="4"/>
    </row>
    <row r="5" spans="1:16" s="3" customFormat="1" ht="30" customHeight="1">
      <c r="B5" s="11" t="s">
        <v>7</v>
      </c>
      <c r="C5" s="183" t="s">
        <v>219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120</v>
      </c>
      <c r="C11" s="42" t="s">
        <v>137</v>
      </c>
      <c r="D11" s="43" t="s">
        <v>208</v>
      </c>
      <c r="E11" s="44"/>
      <c r="F11" s="45">
        <v>66</v>
      </c>
      <c r="G11" s="46"/>
      <c r="H11" s="47"/>
      <c r="I11" s="48"/>
      <c r="J11" s="50">
        <f t="shared" ref="J11:J18" si="0">F11*B11</f>
        <v>7920</v>
      </c>
      <c r="L11" s="4"/>
      <c r="M11" s="1"/>
      <c r="N11" s="1"/>
      <c r="O11" s="4"/>
    </row>
    <row r="12" spans="1:16" s="3" customFormat="1" ht="20.100000000000001" customHeight="1">
      <c r="B12" s="41">
        <v>24</v>
      </c>
      <c r="C12" s="42" t="s">
        <v>137</v>
      </c>
      <c r="D12" s="43" t="s">
        <v>216</v>
      </c>
      <c r="E12" s="44"/>
      <c r="F12" s="45">
        <v>66</v>
      </c>
      <c r="G12" s="76"/>
      <c r="H12" s="47"/>
      <c r="I12" s="48"/>
      <c r="J12" s="50">
        <f t="shared" si="0"/>
        <v>1584</v>
      </c>
      <c r="L12" s="93"/>
      <c r="M12" s="5"/>
      <c r="N12" s="5"/>
      <c r="P12" s="4"/>
    </row>
    <row r="13" spans="1:16" s="3" customFormat="1" ht="20.100000000000001" customHeight="1">
      <c r="B13" s="41">
        <v>24</v>
      </c>
      <c r="C13" s="42" t="s">
        <v>137</v>
      </c>
      <c r="D13" s="43" t="s">
        <v>217</v>
      </c>
      <c r="E13" s="44"/>
      <c r="F13" s="45">
        <v>66</v>
      </c>
      <c r="G13" s="89"/>
      <c r="H13" s="47"/>
      <c r="I13" s="48"/>
      <c r="J13" s="50">
        <f t="shared" si="0"/>
        <v>1584</v>
      </c>
      <c r="L13" s="93"/>
      <c r="M13" s="5"/>
      <c r="O13" s="90"/>
      <c r="P13" s="49"/>
    </row>
    <row r="14" spans="1:16" s="3" customFormat="1" ht="20.100000000000001" customHeight="1">
      <c r="B14" s="41">
        <v>24</v>
      </c>
      <c r="C14" s="42" t="s">
        <v>137</v>
      </c>
      <c r="D14" s="43" t="s">
        <v>204</v>
      </c>
      <c r="E14" s="44"/>
      <c r="F14" s="45">
        <v>66</v>
      </c>
      <c r="G14" s="76"/>
      <c r="H14" s="47"/>
      <c r="I14" s="48"/>
      <c r="J14" s="50">
        <f t="shared" si="0"/>
        <v>1584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24</v>
      </c>
      <c r="C15" s="42" t="s">
        <v>137</v>
      </c>
      <c r="D15" s="43" t="s">
        <v>205</v>
      </c>
      <c r="E15" s="44"/>
      <c r="F15" s="45">
        <v>66</v>
      </c>
      <c r="G15" s="89"/>
      <c r="H15" s="47"/>
      <c r="I15" s="48"/>
      <c r="J15" s="50">
        <f t="shared" si="0"/>
        <v>1584</v>
      </c>
      <c r="L15" s="4"/>
      <c r="M15" s="1"/>
      <c r="N15" s="1"/>
      <c r="O15" s="4"/>
    </row>
    <row r="16" spans="1:16" s="3" customFormat="1" ht="20.100000000000001" customHeight="1">
      <c r="B16" s="41">
        <v>24</v>
      </c>
      <c r="C16" s="42" t="s">
        <v>137</v>
      </c>
      <c r="D16" s="43" t="s">
        <v>206</v>
      </c>
      <c r="E16" s="44"/>
      <c r="F16" s="45">
        <v>66</v>
      </c>
      <c r="G16" s="46"/>
      <c r="H16" s="47"/>
      <c r="I16" s="48"/>
      <c r="J16" s="50">
        <f t="shared" si="0"/>
        <v>1584</v>
      </c>
      <c r="L16" s="93"/>
      <c r="M16" s="5"/>
      <c r="O16" s="90"/>
      <c r="P16" s="49"/>
    </row>
    <row r="17" spans="2:16" s="3" customFormat="1" ht="20.100000000000001" customHeight="1">
      <c r="B17" s="41">
        <v>72</v>
      </c>
      <c r="C17" s="42" t="s">
        <v>137</v>
      </c>
      <c r="D17" s="43" t="s">
        <v>207</v>
      </c>
      <c r="E17" s="44"/>
      <c r="F17" s="45">
        <v>66</v>
      </c>
      <c r="G17" s="46"/>
      <c r="H17" s="47"/>
      <c r="I17" s="48"/>
      <c r="J17" s="50">
        <f t="shared" si="0"/>
        <v>4752</v>
      </c>
      <c r="L17" s="4"/>
      <c r="M17" s="1"/>
      <c r="N17" s="1"/>
      <c r="O17" s="4"/>
      <c r="P17" s="49"/>
    </row>
    <row r="18" spans="2:16" s="3" customFormat="1" ht="20.100000000000001" customHeight="1">
      <c r="B18" s="41">
        <v>20</v>
      </c>
      <c r="C18" s="42" t="s">
        <v>137</v>
      </c>
      <c r="D18" s="43" t="s">
        <v>218</v>
      </c>
      <c r="E18" s="44"/>
      <c r="F18" s="45">
        <v>66</v>
      </c>
      <c r="G18" s="46"/>
      <c r="H18" s="47"/>
      <c r="I18" s="48"/>
      <c r="J18" s="50">
        <f t="shared" si="0"/>
        <v>1320</v>
      </c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21912</v>
      </c>
      <c r="K26" s="158"/>
      <c r="L26" s="189">
        <f>SUM(L11:L25)</f>
        <v>0</v>
      </c>
      <c r="M26" s="63">
        <f>57420-L26</f>
        <v>57420</v>
      </c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C0084-F42A-46A1-B932-1F657587D3FC}">
  <sheetPr codeName="Sheet86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201</v>
      </c>
      <c r="D3" s="187"/>
      <c r="E3" s="187"/>
      <c r="F3" s="10" t="s">
        <v>3</v>
      </c>
      <c r="G3" s="10"/>
      <c r="H3" s="10"/>
      <c r="I3" s="10"/>
      <c r="J3" s="75">
        <v>43</v>
      </c>
      <c r="L3" s="4"/>
      <c r="O3" s="4"/>
    </row>
    <row r="4" spans="1:16" s="3" customFormat="1" ht="30" customHeight="1">
      <c r="B4" s="11" t="s">
        <v>5</v>
      </c>
      <c r="C4" s="12" t="s">
        <v>198</v>
      </c>
      <c r="D4" s="13"/>
      <c r="E4" s="13"/>
      <c r="F4" s="14" t="s">
        <v>6</v>
      </c>
      <c r="G4" s="15"/>
      <c r="H4" s="15"/>
      <c r="I4" s="15"/>
      <c r="J4" s="16">
        <v>45341</v>
      </c>
      <c r="L4" s="4"/>
      <c r="P4" s="4"/>
    </row>
    <row r="5" spans="1:16" s="3" customFormat="1" ht="30" customHeight="1">
      <c r="B5" s="11" t="s">
        <v>7</v>
      </c>
      <c r="C5" s="183" t="s">
        <v>136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199</v>
      </c>
      <c r="D11" s="43" t="s">
        <v>200</v>
      </c>
      <c r="E11" s="44"/>
      <c r="F11" s="45">
        <v>9000</v>
      </c>
      <c r="G11" s="76"/>
      <c r="H11" s="47"/>
      <c r="I11" s="48"/>
      <c r="J11" s="50">
        <f>F11*B11</f>
        <v>36000</v>
      </c>
      <c r="L11" s="9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9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L13" s="4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L14" s="4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L16" s="4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36000</v>
      </c>
      <c r="K26" s="158"/>
      <c r="L26" s="189">
        <f>SUM(L11:L25)</f>
        <v>0</v>
      </c>
      <c r="M26" s="63">
        <f>57420-L26</f>
        <v>57420</v>
      </c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7254FD-C652-4BAC-A2AA-AA0727D7372E}">
  <sheetPr codeName="Sheet87">
    <tabColor rgb="FFC00000"/>
  </sheetPr>
  <dimension ref="A1:P45"/>
  <sheetViews>
    <sheetView view="pageBreakPreview" zoomScale="80" zoomScaleNormal="100" zoomScaleSheetLayoutView="80" workbookViewId="0">
      <selection activeCell="D16" sqref="D1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192</v>
      </c>
      <c r="D3" s="188"/>
      <c r="E3" s="188"/>
      <c r="F3" s="10" t="s">
        <v>3</v>
      </c>
      <c r="G3" s="10"/>
      <c r="H3" s="10"/>
      <c r="I3" s="10"/>
      <c r="J3" s="75">
        <v>42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195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195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196</v>
      </c>
      <c r="E13" s="44"/>
      <c r="F13" s="45">
        <v>9000</v>
      </c>
      <c r="G13" s="46"/>
      <c r="H13" s="47"/>
      <c r="I13" s="48"/>
      <c r="J13" s="50">
        <f>F13</f>
        <v>9000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197</v>
      </c>
      <c r="E14" s="44"/>
      <c r="F14" s="45">
        <v>9000</v>
      </c>
      <c r="G14" s="46"/>
      <c r="H14" s="47"/>
      <c r="I14" s="48"/>
      <c r="J14" s="50">
        <f>F14</f>
        <v>9000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18000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9BFCFD-B48F-4BD1-989D-3EBA45664E3B}">
  <sheetPr codeName="Sheet88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36</v>
      </c>
      <c r="D3" s="188"/>
      <c r="E3" s="188"/>
      <c r="F3" s="10" t="s">
        <v>3</v>
      </c>
      <c r="G3" s="10"/>
      <c r="H3" s="10"/>
      <c r="I3" s="10"/>
      <c r="J3" s="75">
        <v>41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191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7840D8-13AF-421D-B10A-65E4E2064919}">
  <sheetPr codeName="Sheet89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44</v>
      </c>
      <c r="D3" s="188"/>
      <c r="E3" s="188"/>
      <c r="F3" s="10" t="s">
        <v>3</v>
      </c>
      <c r="G3" s="10"/>
      <c r="H3" s="10"/>
      <c r="I3" s="10"/>
      <c r="J3" s="75">
        <v>40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190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DED08-9803-4EB7-86C6-567D2A788F55}">
  <sheetPr codeName="Sheet90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52</v>
      </c>
      <c r="D3" s="188"/>
      <c r="E3" s="188"/>
      <c r="F3" s="10" t="s">
        <v>3</v>
      </c>
      <c r="G3" s="10"/>
      <c r="H3" s="10"/>
      <c r="I3" s="10"/>
      <c r="J3" s="75">
        <v>39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183" t="s">
        <v>54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189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372E22-718F-4025-AD7E-A7020EE61E83}">
  <sheetPr codeName="Sheet91">
    <tabColor rgb="FFC00000"/>
  </sheetPr>
  <dimension ref="A1:P45"/>
  <sheetViews>
    <sheetView view="pageBreakPreview" zoomScale="70" zoomScaleNormal="100" zoomScaleSheetLayoutView="70" workbookViewId="0">
      <selection activeCell="N13" sqref="N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56</v>
      </c>
      <c r="D3" s="188"/>
      <c r="E3" s="188"/>
      <c r="F3" s="10" t="s">
        <v>3</v>
      </c>
      <c r="G3" s="10"/>
      <c r="H3" s="10"/>
      <c r="I3" s="10"/>
      <c r="J3" s="75">
        <v>38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65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79" t="s">
        <v>30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59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43" t="s">
        <v>188</v>
      </c>
      <c r="E13" s="44"/>
      <c r="F13" s="45">
        <v>7500</v>
      </c>
      <c r="G13" s="46"/>
      <c r="H13" s="47"/>
      <c r="I13" s="48"/>
      <c r="J13" s="50">
        <f>F13</f>
        <v>7500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3CDAC-3E78-47D4-B567-F0D8420463C4}">
  <sheetPr codeName="Sheet92">
    <tabColor rgb="FF00B0F0"/>
  </sheetPr>
  <dimension ref="A1:P45"/>
  <sheetViews>
    <sheetView view="pageBreakPreview" zoomScale="90" zoomScaleNormal="100" zoomScaleSheetLayoutView="90" workbookViewId="0">
      <selection activeCell="B12" sqref="B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186</v>
      </c>
      <c r="D3" s="187"/>
      <c r="E3" s="187"/>
      <c r="F3" s="10" t="s">
        <v>3</v>
      </c>
      <c r="G3" s="10"/>
      <c r="H3" s="10"/>
      <c r="I3" s="10"/>
      <c r="J3" s="75">
        <v>37</v>
      </c>
      <c r="L3" s="4"/>
      <c r="O3" s="4"/>
    </row>
    <row r="4" spans="1:16" s="3" customFormat="1" ht="30" customHeight="1">
      <c r="B4" s="11" t="s">
        <v>5</v>
      </c>
      <c r="C4" s="12" t="s">
        <v>187</v>
      </c>
      <c r="D4" s="13"/>
      <c r="E4" s="13"/>
      <c r="F4" s="14" t="s">
        <v>6</v>
      </c>
      <c r="G4" s="15"/>
      <c r="H4" s="15"/>
      <c r="I4" s="15"/>
      <c r="J4" s="16">
        <v>45335</v>
      </c>
      <c r="L4" s="4"/>
      <c r="P4" s="4"/>
    </row>
    <row r="5" spans="1:16" s="3" customFormat="1" ht="30" customHeight="1">
      <c r="B5" s="11" t="s">
        <v>7</v>
      </c>
      <c r="C5" s="183" t="s">
        <v>136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f>2*3</f>
        <v>6</v>
      </c>
      <c r="C11" s="42" t="s">
        <v>137</v>
      </c>
      <c r="D11" s="43" t="s">
        <v>138</v>
      </c>
      <c r="E11" s="44"/>
      <c r="F11" s="45">
        <v>5650</v>
      </c>
      <c r="G11" s="76"/>
      <c r="H11" s="47"/>
      <c r="I11" s="48"/>
      <c r="J11" s="50">
        <f>F11*B11</f>
        <v>33900</v>
      </c>
      <c r="L11" s="93">
        <f>B11*5700</f>
        <v>34200</v>
      </c>
      <c r="M11" s="5"/>
      <c r="N11" s="5"/>
      <c r="P11" s="4"/>
    </row>
    <row r="12" spans="1:16" s="3" customFormat="1" ht="20.100000000000001" customHeight="1">
      <c r="B12" s="41">
        <f>8*3</f>
        <v>24</v>
      </c>
      <c r="C12" s="42" t="s">
        <v>137</v>
      </c>
      <c r="D12" s="43" t="s">
        <v>139</v>
      </c>
      <c r="E12" s="44"/>
      <c r="F12" s="88">
        <v>980</v>
      </c>
      <c r="G12" s="89"/>
      <c r="H12" s="47"/>
      <c r="I12" s="48"/>
      <c r="J12" s="50">
        <f>F12*B12</f>
        <v>23520</v>
      </c>
      <c r="L12" s="93">
        <f>1050*B12</f>
        <v>25200</v>
      </c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L13" s="4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L14" s="4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L16" s="4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57420</v>
      </c>
      <c r="K26" s="158"/>
      <c r="L26" s="189">
        <f>SUM(L11:L25)</f>
        <v>59400</v>
      </c>
      <c r="M26" s="63">
        <f>57420-L26</f>
        <v>-1980</v>
      </c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K26:K27"/>
    <mergeCell ref="L26:L27"/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709529-480A-4646-806E-D88F86A89B09}">
  <sheetPr>
    <tabColor rgb="FF00B0F0"/>
  </sheetPr>
  <dimension ref="A1:P45"/>
  <sheetViews>
    <sheetView view="pageBreakPreview" zoomScale="90" zoomScaleNormal="100" zoomScaleSheetLayoutView="90" workbookViewId="0">
      <selection activeCell="B11" sqref="B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377</v>
      </c>
      <c r="D3" s="191"/>
      <c r="E3" s="191"/>
      <c r="F3" s="10" t="s">
        <v>3</v>
      </c>
      <c r="G3" s="10"/>
      <c r="H3" s="10"/>
      <c r="I3" s="10"/>
      <c r="J3" s="75">
        <v>204</v>
      </c>
      <c r="L3" s="4"/>
      <c r="O3" s="4"/>
    </row>
    <row r="4" spans="1:16" s="3" customFormat="1" ht="30" customHeight="1">
      <c r="B4" s="11" t="s">
        <v>5</v>
      </c>
      <c r="C4" s="12" t="s">
        <v>665</v>
      </c>
      <c r="D4" s="13"/>
      <c r="E4" s="13"/>
      <c r="F4" s="14" t="s">
        <v>6</v>
      </c>
      <c r="G4" s="15"/>
      <c r="H4" s="15"/>
      <c r="I4" s="15"/>
      <c r="J4" s="16">
        <v>45458</v>
      </c>
      <c r="L4" s="4"/>
      <c r="P4" s="4"/>
    </row>
    <row r="5" spans="1:16" s="3" customFormat="1" ht="30" customHeight="1">
      <c r="B5" s="11" t="s">
        <v>7</v>
      </c>
      <c r="C5" s="192" t="s">
        <v>525</v>
      </c>
      <c r="D5" s="192"/>
      <c r="E5" s="19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137</v>
      </c>
      <c r="D11" s="43" t="s">
        <v>663</v>
      </c>
      <c r="E11" s="44"/>
      <c r="F11" s="45">
        <v>350</v>
      </c>
      <c r="G11" s="76"/>
      <c r="H11" s="47"/>
      <c r="I11" s="48"/>
      <c r="J11" s="50">
        <f>F11*B11</f>
        <v>1400</v>
      </c>
      <c r="L11"/>
      <c r="M11"/>
      <c r="N11" s="5"/>
      <c r="P11" s="4"/>
    </row>
    <row r="12" spans="1:16" s="3" customFormat="1" ht="20.100000000000001" customHeight="1">
      <c r="B12" s="41">
        <v>2</v>
      </c>
      <c r="C12" s="42" t="s">
        <v>31</v>
      </c>
      <c r="D12" s="43" t="s">
        <v>664</v>
      </c>
      <c r="E12" s="44"/>
      <c r="F12" s="110">
        <v>12000</v>
      </c>
      <c r="G12" s="155"/>
      <c r="H12" s="47"/>
      <c r="I12" s="48"/>
      <c r="J12" s="50">
        <f>F12*B12</f>
        <v>24000</v>
      </c>
      <c r="L12"/>
      <c r="M12"/>
      <c r="O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25400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61975-C4A1-4F0D-AC3B-44F184E7E733}">
  <sheetPr codeName="Sheet93">
    <tabColor rgb="FFC00000"/>
  </sheetPr>
  <dimension ref="A1:P45"/>
  <sheetViews>
    <sheetView showWhiteSpace="0"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66</v>
      </c>
      <c r="D3" s="195"/>
      <c r="E3" s="195"/>
      <c r="F3" s="10" t="s">
        <v>3</v>
      </c>
      <c r="G3" s="10"/>
      <c r="H3" s="10"/>
      <c r="I3" s="10"/>
      <c r="J3" s="75">
        <v>36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67</v>
      </c>
      <c r="D4" s="13"/>
      <c r="E4" s="13"/>
      <c r="F4" s="14" t="s">
        <v>6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125</v>
      </c>
      <c r="E11" s="197"/>
      <c r="F11" s="45">
        <v>204.5</v>
      </c>
      <c r="G11" s="76"/>
      <c r="H11" s="47"/>
      <c r="I11" s="48"/>
      <c r="J11" s="50">
        <f>F11</f>
        <v>204.5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82" t="s">
        <v>68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70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71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N24" s="3">
        <f>15*160</f>
        <v>2400</v>
      </c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204.5</v>
      </c>
      <c r="M26" s="63"/>
      <c r="N26" s="3">
        <v>0</v>
      </c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F10:G10"/>
    <mergeCell ref="D11:E11"/>
    <mergeCell ref="D18:E18"/>
    <mergeCell ref="D22:E22"/>
    <mergeCell ref="D23:E23"/>
    <mergeCell ref="B42:C42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44E693-E72C-41B4-B51F-04806CB4B51D}">
  <sheetPr codeName="Sheet94">
    <tabColor rgb="FFC00000"/>
  </sheetPr>
  <dimension ref="A1:P45"/>
  <sheetViews>
    <sheetView view="pageBreakPreview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72</v>
      </c>
      <c r="D3" s="195"/>
      <c r="E3" s="195"/>
      <c r="F3" s="10" t="s">
        <v>3</v>
      </c>
      <c r="G3" s="10"/>
      <c r="H3" s="10"/>
      <c r="I3" s="10"/>
      <c r="J3" s="75">
        <v>35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73</v>
      </c>
      <c r="D4" s="13"/>
      <c r="E4" s="13"/>
      <c r="F4" s="14" t="s">
        <v>6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123</v>
      </c>
      <c r="E11" s="197"/>
      <c r="F11" s="45">
        <v>141.75</v>
      </c>
      <c r="G11" s="76"/>
      <c r="H11" s="47"/>
      <c r="I11" s="48"/>
      <c r="J11" s="50">
        <f>F11</f>
        <v>141.75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141.75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6988A-1D5D-4D4B-BCD8-26AE0FB4818A}">
  <sheetPr codeName="Sheet95">
    <tabColor rgb="FFC0000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/>
      <c r="D3" s="195"/>
      <c r="E3" s="195"/>
      <c r="F3" s="10" t="s">
        <v>3</v>
      </c>
      <c r="G3" s="10"/>
      <c r="H3" s="10"/>
      <c r="I3" s="10"/>
      <c r="J3" s="75">
        <v>34</v>
      </c>
      <c r="O3" s="4"/>
    </row>
    <row r="4" spans="1:16" s="3" customFormat="1" ht="30" customHeight="1">
      <c r="B4" s="11" t="s">
        <v>5</v>
      </c>
      <c r="C4" s="12" t="s">
        <v>181</v>
      </c>
      <c r="D4" s="13"/>
      <c r="E4" s="13"/>
      <c r="F4" s="14" t="s">
        <v>6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1" t="s">
        <v>7</v>
      </c>
      <c r="C5" s="183" t="s">
        <v>182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183</v>
      </c>
      <c r="E11" s="197"/>
      <c r="F11" s="45">
        <v>75000</v>
      </c>
      <c r="G11" s="76"/>
      <c r="H11" s="47"/>
      <c r="I11" s="48"/>
      <c r="J11" s="50">
        <f>F11</f>
        <v>75000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6" t="s">
        <v>184</v>
      </c>
      <c r="E12" s="197"/>
      <c r="F12" s="45">
        <v>75000</v>
      </c>
      <c r="G12" s="76"/>
      <c r="H12" s="47"/>
      <c r="I12" s="48"/>
      <c r="J12" s="50">
        <f>F12</f>
        <v>75000</v>
      </c>
      <c r="M12" s="1"/>
      <c r="N12" s="1"/>
      <c r="O12" s="4"/>
    </row>
    <row r="13" spans="1:16" s="3" customFormat="1" ht="20.100000000000001" customHeight="1">
      <c r="B13" s="41"/>
      <c r="C13" s="42"/>
      <c r="D13" s="43" t="s">
        <v>185</v>
      </c>
      <c r="E13" s="44"/>
      <c r="F13" s="45">
        <v>75000</v>
      </c>
      <c r="G13" s="46"/>
      <c r="H13" s="47"/>
      <c r="I13" s="48"/>
      <c r="J13" s="50">
        <f>F13</f>
        <v>75000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225000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1"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4052AA-0640-420D-A23A-B2E595CC3FF5}">
  <sheetPr codeName="Sheet96"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178</v>
      </c>
      <c r="D3" s="187"/>
      <c r="E3" s="187"/>
      <c r="F3" s="10" t="s">
        <v>3</v>
      </c>
      <c r="G3" s="10"/>
      <c r="H3" s="10"/>
      <c r="I3" s="10"/>
      <c r="J3" s="75">
        <v>33</v>
      </c>
      <c r="O3" s="4"/>
    </row>
    <row r="4" spans="1:16" s="3" customFormat="1" ht="30" customHeight="1">
      <c r="B4" s="11" t="s">
        <v>5</v>
      </c>
      <c r="C4" s="12" t="s">
        <v>179</v>
      </c>
      <c r="D4" s="13"/>
      <c r="E4" s="13"/>
      <c r="F4" s="14" t="s">
        <v>6</v>
      </c>
      <c r="G4" s="15"/>
      <c r="H4" s="15"/>
      <c r="I4" s="15"/>
      <c r="J4" s="16">
        <v>45330</v>
      </c>
      <c r="L4" s="17"/>
      <c r="P4" s="4"/>
    </row>
    <row r="5" spans="1:16" s="3" customFormat="1" ht="30" customHeight="1">
      <c r="B5" s="11" t="s">
        <v>7</v>
      </c>
      <c r="C5" s="183" t="s">
        <v>136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31</v>
      </c>
      <c r="D11" s="43" t="s">
        <v>180</v>
      </c>
      <c r="E11" s="44"/>
      <c r="F11" s="45">
        <v>6500</v>
      </c>
      <c r="G11" s="76"/>
      <c r="H11" s="47"/>
      <c r="I11" s="48"/>
      <c r="J11" s="50">
        <f>F11*B11</f>
        <v>13000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43"/>
      <c r="E17" s="53"/>
      <c r="F17" s="45"/>
      <c r="G17" s="46"/>
      <c r="H17" s="47"/>
      <c r="I17" s="48"/>
      <c r="J17" s="50"/>
      <c r="M17" s="5"/>
      <c r="N17" s="56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42"/>
      <c r="D19" s="43"/>
      <c r="E19" s="53"/>
      <c r="F19" s="45"/>
      <c r="G19" s="46"/>
      <c r="H19" s="47"/>
      <c r="I19" s="48"/>
      <c r="J19" s="50"/>
      <c r="M19" s="5"/>
      <c r="N19" s="56"/>
      <c r="O19" s="4"/>
    </row>
    <row r="20" spans="2:16" s="3" customFormat="1" ht="20.100000000000001" customHeight="1">
      <c r="B20" s="41"/>
      <c r="C20" s="51"/>
      <c r="D20" s="43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13000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324803-034C-417B-BF0E-159DBC9E5B7C}">
  <sheetPr codeName="Sheet97">
    <tabColor rgb="FFC0000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177</v>
      </c>
      <c r="D3" s="195"/>
      <c r="E3" s="195"/>
      <c r="F3" s="10" t="s">
        <v>3</v>
      </c>
      <c r="G3" s="10"/>
      <c r="H3" s="10"/>
      <c r="I3" s="10"/>
      <c r="J3" s="75">
        <v>32</v>
      </c>
      <c r="O3" s="4"/>
    </row>
    <row r="4" spans="1:16" s="3" customFormat="1" ht="30" customHeight="1">
      <c r="B4" s="11" t="s">
        <v>5</v>
      </c>
      <c r="C4" s="12" t="s">
        <v>176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3" t="s">
        <v>100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175</v>
      </c>
      <c r="E11" s="197"/>
      <c r="F11" s="45">
        <v>1440</v>
      </c>
      <c r="G11" s="76"/>
      <c r="H11" s="47"/>
      <c r="I11" s="48"/>
      <c r="J11" s="50">
        <f>F11</f>
        <v>1440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6"/>
      <c r="E12" s="197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1440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1"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99846C-4C90-4865-81B8-738542302B39}">
  <sheetPr codeName="Sheet98">
    <tabColor rgb="FFC00000"/>
  </sheetPr>
  <dimension ref="A1:P45"/>
  <sheetViews>
    <sheetView view="pageBreakPreview" zoomScaleNormal="100" zoomScaleSheetLayoutView="100" workbookViewId="0">
      <selection activeCell="C6" sqref="C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177</v>
      </c>
      <c r="D3" s="195"/>
      <c r="E3" s="195"/>
      <c r="F3" s="10" t="s">
        <v>3</v>
      </c>
      <c r="G3" s="10"/>
      <c r="H3" s="10"/>
      <c r="I3" s="10"/>
      <c r="J3" s="75">
        <v>31</v>
      </c>
      <c r="O3" s="4"/>
    </row>
    <row r="4" spans="1:16" s="3" customFormat="1" ht="30" customHeight="1">
      <c r="B4" s="11" t="s">
        <v>5</v>
      </c>
      <c r="C4" s="12" t="s">
        <v>176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3" t="s">
        <v>171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175</v>
      </c>
      <c r="E11" s="197"/>
      <c r="F11" s="45">
        <v>3500</v>
      </c>
      <c r="G11" s="76"/>
      <c r="H11" s="47"/>
      <c r="I11" s="48"/>
      <c r="J11" s="50">
        <f>F11</f>
        <v>3500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6"/>
      <c r="E12" s="197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3500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1"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9B6465-A91C-430D-B940-58520AB1C399}">
  <sheetPr codeName="Sheet99">
    <tabColor rgb="FFC00000"/>
  </sheetPr>
  <dimension ref="A1:P45"/>
  <sheetViews>
    <sheetView view="pageBreakPreview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174</v>
      </c>
      <c r="D3" s="195"/>
      <c r="E3" s="195"/>
      <c r="F3" s="10" t="s">
        <v>3</v>
      </c>
      <c r="G3" s="10"/>
      <c r="H3" s="10"/>
      <c r="I3" s="10"/>
      <c r="J3" s="75">
        <v>30</v>
      </c>
      <c r="O3" s="4"/>
    </row>
    <row r="4" spans="1:16" s="3" customFormat="1" ht="30" customHeight="1">
      <c r="B4" s="11" t="s">
        <v>5</v>
      </c>
      <c r="C4" s="12" t="s">
        <v>176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3" t="s">
        <v>92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175</v>
      </c>
      <c r="E11" s="197"/>
      <c r="F11" s="45">
        <v>1800</v>
      </c>
      <c r="G11" s="76"/>
      <c r="H11" s="47"/>
      <c r="I11" s="48"/>
      <c r="J11" s="50">
        <f>F11</f>
        <v>1800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6"/>
      <c r="E12" s="197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1800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1"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ABBD3-A713-4F53-A0F0-8717623A360E}">
  <sheetPr codeName="Sheet100">
    <tabColor rgb="FF00B0F0"/>
  </sheetPr>
  <dimension ref="A1:P45"/>
  <sheetViews>
    <sheetView view="pageBreakPreview" topLeftCell="A2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29</v>
      </c>
      <c r="O3" s="4"/>
    </row>
    <row r="4" spans="1:16" s="3" customFormat="1" ht="30" customHeight="1">
      <c r="B4" s="11" t="s">
        <v>5</v>
      </c>
      <c r="C4" s="12" t="s">
        <v>151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3" t="s">
        <v>172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400</v>
      </c>
      <c r="C11" s="42" t="s">
        <v>152</v>
      </c>
      <c r="D11" s="43" t="s">
        <v>110</v>
      </c>
      <c r="E11" s="44"/>
      <c r="F11" s="45">
        <v>205</v>
      </c>
      <c r="G11" s="76"/>
      <c r="H11" s="47"/>
      <c r="I11" s="48"/>
      <c r="J11" s="50">
        <f>F11*B11</f>
        <v>82000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91" t="s">
        <v>153</v>
      </c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>
        <v>10</v>
      </c>
      <c r="C17" s="42" t="s">
        <v>137</v>
      </c>
      <c r="D17" s="43" t="s">
        <v>173</v>
      </c>
      <c r="E17" s="53"/>
      <c r="F17" s="45">
        <v>230</v>
      </c>
      <c r="G17" s="46"/>
      <c r="H17" s="47"/>
      <c r="I17" s="48"/>
      <c r="J17" s="50">
        <f>B17*F17</f>
        <v>2300</v>
      </c>
      <c r="M17" s="5"/>
      <c r="N17" s="56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42"/>
      <c r="D19" s="43"/>
      <c r="E19" s="53"/>
      <c r="F19" s="45"/>
      <c r="G19" s="46"/>
      <c r="H19" s="47"/>
      <c r="I19" s="48"/>
      <c r="J19" s="50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84300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53E399-76D6-4B1A-BE5B-90659AE6AFFC}">
  <sheetPr codeName="Sheet101">
    <tabColor rgb="FF00B0F0"/>
  </sheetPr>
  <dimension ref="A1:P45"/>
  <sheetViews>
    <sheetView view="pageBreakPreview" topLeftCell="A4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153</v>
      </c>
      <c r="D3" s="187"/>
      <c r="E3" s="187"/>
      <c r="F3" s="10" t="s">
        <v>3</v>
      </c>
      <c r="G3" s="10"/>
      <c r="H3" s="10"/>
      <c r="I3" s="10"/>
      <c r="J3" s="75">
        <v>28</v>
      </c>
      <c r="O3" s="4"/>
    </row>
    <row r="4" spans="1:16" s="3" customFormat="1" ht="30" customHeight="1">
      <c r="B4" s="11" t="s">
        <v>5</v>
      </c>
      <c r="C4" s="12" t="s">
        <v>170</v>
      </c>
      <c r="D4" s="13"/>
      <c r="E4" s="13"/>
      <c r="F4" s="14" t="s">
        <v>6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1" t="s">
        <v>7</v>
      </c>
      <c r="C5" s="183" t="s">
        <v>114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158</v>
      </c>
      <c r="D11" s="43" t="s">
        <v>168</v>
      </c>
      <c r="E11" s="44"/>
      <c r="F11" s="45">
        <v>6500</v>
      </c>
      <c r="G11" s="76"/>
      <c r="H11" s="47"/>
      <c r="I11" s="48"/>
      <c r="J11" s="50">
        <f>F11*B11</f>
        <v>6500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42"/>
      <c r="D19" s="43"/>
      <c r="E19" s="53"/>
      <c r="F19" s="45"/>
      <c r="G19" s="46"/>
      <c r="H19" s="47"/>
      <c r="I19" s="48"/>
      <c r="J19" s="50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0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0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169</v>
      </c>
      <c r="E26" s="170"/>
      <c r="F26" s="173" t="s">
        <v>15</v>
      </c>
      <c r="G26" s="174"/>
      <c r="H26" s="62"/>
      <c r="I26" s="62"/>
      <c r="J26" s="158">
        <f>SUM(J11:J25)</f>
        <v>6500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885667-FB6E-4CCF-B46A-32C76C99A663}">
  <sheetPr codeName="Sheet102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27</v>
      </c>
      <c r="O3" s="4"/>
    </row>
    <row r="4" spans="1:16" s="3" customFormat="1" ht="30" customHeight="1">
      <c r="B4" s="11" t="s">
        <v>5</v>
      </c>
      <c r="C4" s="12" t="s">
        <v>157</v>
      </c>
      <c r="D4" s="13"/>
      <c r="E4" s="13"/>
      <c r="F4" s="14" t="s">
        <v>6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1" t="s">
        <v>7</v>
      </c>
      <c r="C5" s="183" t="s">
        <v>114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158</v>
      </c>
      <c r="D11" s="43" t="s">
        <v>159</v>
      </c>
      <c r="E11" s="44"/>
      <c r="F11" s="45">
        <v>1260</v>
      </c>
      <c r="G11" s="76"/>
      <c r="H11" s="47"/>
      <c r="I11" s="48"/>
      <c r="J11" s="50">
        <f>F11*B11</f>
        <v>1260</v>
      </c>
      <c r="L11" s="23"/>
      <c r="M11" s="5"/>
      <c r="N11" s="5"/>
      <c r="P11" s="4"/>
    </row>
    <row r="12" spans="1:16" s="3" customFormat="1" ht="20.100000000000001" customHeight="1">
      <c r="B12" s="41">
        <v>1</v>
      </c>
      <c r="C12" s="42" t="s">
        <v>137</v>
      </c>
      <c r="D12" s="43" t="s">
        <v>160</v>
      </c>
      <c r="E12" s="44"/>
      <c r="F12" s="88">
        <v>60</v>
      </c>
      <c r="G12" s="89"/>
      <c r="H12" s="47"/>
      <c r="I12" s="48"/>
      <c r="J12" s="50">
        <f t="shared" ref="J12:J17" si="0">F12*B12</f>
        <v>60</v>
      </c>
      <c r="L12" s="23"/>
      <c r="M12" s="5"/>
      <c r="O12" s="90"/>
      <c r="P12" s="49"/>
    </row>
    <row r="13" spans="1:16" s="3" customFormat="1" ht="20.100000000000001" customHeight="1">
      <c r="B13" s="41">
        <v>1</v>
      </c>
      <c r="C13" s="42" t="s">
        <v>137</v>
      </c>
      <c r="D13" s="43" t="s">
        <v>161</v>
      </c>
      <c r="E13" s="44"/>
      <c r="F13" s="45">
        <v>45</v>
      </c>
      <c r="G13" s="46"/>
      <c r="H13" s="47"/>
      <c r="I13" s="48"/>
      <c r="J13" s="50">
        <f t="shared" si="0"/>
        <v>45</v>
      </c>
      <c r="M13" s="1"/>
      <c r="N13" s="1"/>
      <c r="O13" s="4"/>
      <c r="P13" s="49"/>
    </row>
    <row r="14" spans="1:16" s="3" customFormat="1" ht="20.100000000000001" customHeight="1">
      <c r="B14" s="41">
        <v>1</v>
      </c>
      <c r="C14" s="42" t="s">
        <v>137</v>
      </c>
      <c r="D14" s="43" t="s">
        <v>162</v>
      </c>
      <c r="E14" s="44"/>
      <c r="F14" s="45">
        <v>22</v>
      </c>
      <c r="G14" s="46"/>
      <c r="H14" s="47"/>
      <c r="I14" s="48"/>
      <c r="J14" s="50">
        <f t="shared" si="0"/>
        <v>22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137</v>
      </c>
      <c r="D15" s="43" t="s">
        <v>163</v>
      </c>
      <c r="E15" s="44"/>
      <c r="F15" s="45">
        <v>12</v>
      </c>
      <c r="G15" s="46"/>
      <c r="H15" s="47"/>
      <c r="I15" s="48"/>
      <c r="J15" s="50">
        <f t="shared" si="0"/>
        <v>12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137</v>
      </c>
      <c r="D16" s="43" t="s">
        <v>164</v>
      </c>
      <c r="E16" s="44"/>
      <c r="F16" s="45">
        <v>145</v>
      </c>
      <c r="G16" s="46"/>
      <c r="H16" s="47"/>
      <c r="I16" s="48"/>
      <c r="J16" s="50">
        <f t="shared" si="0"/>
        <v>145</v>
      </c>
      <c r="M16" s="5"/>
      <c r="O16" s="4"/>
    </row>
    <row r="17" spans="2:16" s="3" customFormat="1" ht="20.100000000000001" customHeight="1">
      <c r="B17" s="41">
        <v>1</v>
      </c>
      <c r="C17" s="42" t="s">
        <v>137</v>
      </c>
      <c r="D17" s="43" t="s">
        <v>165</v>
      </c>
      <c r="E17" s="44"/>
      <c r="F17" s="45">
        <v>25</v>
      </c>
      <c r="G17" s="46"/>
      <c r="H17" s="47"/>
      <c r="I17" s="48"/>
      <c r="J17" s="50">
        <f t="shared" si="0"/>
        <v>25</v>
      </c>
      <c r="M17" s="5"/>
      <c r="N17" s="4"/>
      <c r="O17" s="4"/>
    </row>
    <row r="18" spans="2:16" s="3" customFormat="1" ht="20.100000000000001" customHeight="1">
      <c r="B18" s="41">
        <v>1</v>
      </c>
      <c r="C18" s="42" t="s">
        <v>137</v>
      </c>
      <c r="D18" s="43" t="s">
        <v>166</v>
      </c>
      <c r="E18" s="44"/>
      <c r="F18" s="45">
        <v>55</v>
      </c>
      <c r="G18" s="46"/>
      <c r="H18" s="47"/>
      <c r="I18" s="48"/>
      <c r="J18" s="50">
        <f>B18*F18</f>
        <v>55</v>
      </c>
      <c r="M18" s="5"/>
      <c r="N18" s="4"/>
      <c r="O18" s="4"/>
    </row>
    <row r="19" spans="2:16" s="3" customFormat="1" ht="20.100000000000001" customHeight="1">
      <c r="B19" s="41">
        <v>1</v>
      </c>
      <c r="C19" s="42" t="s">
        <v>137</v>
      </c>
      <c r="D19" s="43" t="s">
        <v>167</v>
      </c>
      <c r="E19" s="53"/>
      <c r="F19" s="45">
        <v>60</v>
      </c>
      <c r="G19" s="46"/>
      <c r="H19" s="47"/>
      <c r="I19" s="48"/>
      <c r="J19" s="50">
        <f>B19*F19</f>
        <v>60</v>
      </c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0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0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1684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>
      <c r="N43" s="5">
        <f>69.72*3</f>
        <v>209.16</v>
      </c>
    </row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9E8EFE-95FD-4925-9572-ADDE52F8C599}">
  <sheetPr>
    <tabColor rgb="FF00B0F0"/>
  </sheetPr>
  <dimension ref="A1:P45"/>
  <sheetViews>
    <sheetView view="pageBreakPreview" zoomScale="80" zoomScaleNormal="100" zoomScaleSheetLayoutView="80" workbookViewId="0">
      <selection activeCell="J26" sqref="J26:J27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656</v>
      </c>
      <c r="D3" s="187"/>
      <c r="E3" s="187"/>
      <c r="F3" s="10" t="s">
        <v>3</v>
      </c>
      <c r="G3" s="10"/>
      <c r="H3" s="10"/>
      <c r="I3" s="10"/>
      <c r="J3" s="75">
        <v>203</v>
      </c>
      <c r="L3" s="4"/>
      <c r="O3" s="4"/>
    </row>
    <row r="4" spans="1:16" s="3" customFormat="1" ht="30" customHeight="1">
      <c r="B4" s="11" t="s">
        <v>5</v>
      </c>
      <c r="C4" s="12" t="s">
        <v>657</v>
      </c>
      <c r="D4" s="13"/>
      <c r="E4" s="13"/>
      <c r="F4" s="14" t="s">
        <v>6</v>
      </c>
      <c r="G4" s="15"/>
      <c r="H4" s="15"/>
      <c r="I4" s="15"/>
      <c r="J4" s="16">
        <v>45456</v>
      </c>
      <c r="L4" s="4"/>
      <c r="P4" s="4"/>
    </row>
    <row r="5" spans="1:16" s="3" customFormat="1" ht="30" customHeight="1">
      <c r="B5" s="11" t="s">
        <v>7</v>
      </c>
      <c r="C5" s="192" t="s">
        <v>136</v>
      </c>
      <c r="D5" s="192"/>
      <c r="E5" s="19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616</v>
      </c>
      <c r="D11" s="43" t="s">
        <v>659</v>
      </c>
      <c r="E11" s="44"/>
      <c r="F11" s="45">
        <v>1950</v>
      </c>
      <c r="G11" s="46"/>
      <c r="H11" s="47"/>
      <c r="I11" s="48"/>
      <c r="J11" s="50">
        <f>F11*B11</f>
        <v>1950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 t="s">
        <v>660</v>
      </c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>
        <v>1</v>
      </c>
      <c r="C13" s="42" t="s">
        <v>616</v>
      </c>
      <c r="D13" s="43" t="s">
        <v>661</v>
      </c>
      <c r="E13" s="106"/>
      <c r="F13" s="45">
        <v>500</v>
      </c>
      <c r="G13" s="89"/>
      <c r="H13" s="47"/>
      <c r="I13" s="48"/>
      <c r="J13" s="50">
        <f>F13*B13</f>
        <v>500</v>
      </c>
      <c r="L13" s="144"/>
      <c r="M13" s="5"/>
      <c r="O13" s="90"/>
      <c r="P13" s="49"/>
    </row>
    <row r="14" spans="1:16" s="3" customFormat="1" ht="20.100000000000001" customHeight="1">
      <c r="B14" s="41">
        <v>1</v>
      </c>
      <c r="C14" s="42" t="s">
        <v>616</v>
      </c>
      <c r="D14" s="43" t="s">
        <v>662</v>
      </c>
      <c r="E14" s="57"/>
      <c r="F14" s="45">
        <v>270</v>
      </c>
      <c r="G14" s="76"/>
      <c r="H14" s="47"/>
      <c r="I14" s="48"/>
      <c r="J14" s="50">
        <f>F14*B14</f>
        <v>270</v>
      </c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658</v>
      </c>
      <c r="E26" s="170"/>
      <c r="F26" s="173" t="s">
        <v>15</v>
      </c>
      <c r="G26" s="174"/>
      <c r="H26" s="62"/>
      <c r="I26" s="62"/>
      <c r="J26" s="158">
        <f>SUM(J11:J25)</f>
        <v>2720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31FDB3-151F-43ED-9EA3-C842662AE78F}">
  <sheetPr codeName="Sheet103"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26</v>
      </c>
      <c r="O3" s="4"/>
    </row>
    <row r="4" spans="1:16" s="3" customFormat="1" ht="30" customHeight="1">
      <c r="B4" s="11" t="s">
        <v>5</v>
      </c>
      <c r="C4" s="12" t="s">
        <v>151</v>
      </c>
      <c r="D4" s="13"/>
      <c r="E4" s="13"/>
      <c r="F4" s="14" t="s">
        <v>6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1" t="s">
        <v>7</v>
      </c>
      <c r="C5" s="183" t="s">
        <v>114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200</v>
      </c>
      <c r="C11" s="42" t="s">
        <v>152</v>
      </c>
      <c r="D11" s="43" t="s">
        <v>110</v>
      </c>
      <c r="E11" s="44"/>
      <c r="F11" s="45">
        <v>205</v>
      </c>
      <c r="G11" s="76"/>
      <c r="H11" s="47"/>
      <c r="I11" s="48"/>
      <c r="J11" s="50">
        <f>F11*B11</f>
        <v>41000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91" t="s">
        <v>153</v>
      </c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>
        <v>1</v>
      </c>
      <c r="C17" s="42" t="s">
        <v>137</v>
      </c>
      <c r="D17" s="43" t="s">
        <v>154</v>
      </c>
      <c r="E17" s="44"/>
      <c r="F17" s="45">
        <v>375</v>
      </c>
      <c r="G17" s="46"/>
      <c r="H17" s="47"/>
      <c r="I17" s="48"/>
      <c r="J17" s="50">
        <f>B17*F17</f>
        <v>375</v>
      </c>
      <c r="M17" s="5"/>
      <c r="N17" s="4"/>
      <c r="O17" s="4"/>
    </row>
    <row r="18" spans="2:16" s="3" customFormat="1" ht="20.100000000000001" customHeight="1">
      <c r="B18" s="41">
        <v>1</v>
      </c>
      <c r="C18" s="42" t="s">
        <v>137</v>
      </c>
      <c r="D18" s="43" t="s">
        <v>155</v>
      </c>
      <c r="E18" s="44"/>
      <c r="F18" s="45">
        <v>375</v>
      </c>
      <c r="G18" s="46"/>
      <c r="H18" s="47"/>
      <c r="I18" s="48"/>
      <c r="J18" s="50">
        <f>B18*F18</f>
        <v>375</v>
      </c>
      <c r="M18" s="5"/>
      <c r="N18" s="4"/>
      <c r="O18" s="4"/>
    </row>
    <row r="19" spans="2:16" s="3" customFormat="1" ht="20.100000000000001" customHeight="1">
      <c r="B19" s="41">
        <v>10</v>
      </c>
      <c r="C19" s="42" t="s">
        <v>137</v>
      </c>
      <c r="D19" s="43" t="s">
        <v>156</v>
      </c>
      <c r="E19" s="53"/>
      <c r="F19" s="45">
        <v>230</v>
      </c>
      <c r="G19" s="46"/>
      <c r="H19" s="47"/>
      <c r="I19" s="48"/>
      <c r="J19" s="50">
        <f>B19*F19</f>
        <v>2300</v>
      </c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44050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0CD673-CE28-4B01-9385-DA3E22040572}">
  <sheetPr codeName="Sheet104">
    <tabColor rgb="FFC0000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140</v>
      </c>
      <c r="D3" s="187"/>
      <c r="E3" s="187"/>
      <c r="F3" s="10" t="s">
        <v>3</v>
      </c>
      <c r="G3" s="10"/>
      <c r="H3" s="10"/>
      <c r="I3" s="10"/>
      <c r="J3" s="75">
        <v>25</v>
      </c>
      <c r="O3" s="4"/>
    </row>
    <row r="4" spans="1:16" s="3" customFormat="1" ht="30" customHeight="1">
      <c r="B4" s="11" t="s">
        <v>5</v>
      </c>
      <c r="C4" s="12" t="s">
        <v>141</v>
      </c>
      <c r="D4" s="13"/>
      <c r="E4" s="13"/>
      <c r="F4" s="14" t="s">
        <v>6</v>
      </c>
      <c r="G4" s="15"/>
      <c r="H4" s="15"/>
      <c r="I4" s="15"/>
      <c r="J4" s="16">
        <v>45321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143</v>
      </c>
      <c r="D11" s="43" t="s">
        <v>142</v>
      </c>
      <c r="E11" s="44"/>
      <c r="F11" s="45">
        <v>1060</v>
      </c>
      <c r="G11" s="76"/>
      <c r="H11" s="47"/>
      <c r="I11" s="48"/>
      <c r="J11" s="50">
        <f>F11*B11</f>
        <v>1060</v>
      </c>
      <c r="L11" s="23"/>
      <c r="M11" s="5"/>
      <c r="N11" s="5"/>
      <c r="P11" s="4"/>
    </row>
    <row r="12" spans="1:16" s="3" customFormat="1" ht="20.100000000000001" customHeight="1">
      <c r="B12" s="41">
        <v>1</v>
      </c>
      <c r="C12" s="42" t="s">
        <v>143</v>
      </c>
      <c r="D12" s="43" t="s">
        <v>144</v>
      </c>
      <c r="E12" s="44"/>
      <c r="F12" s="88">
        <v>1060</v>
      </c>
      <c r="G12" s="89"/>
      <c r="H12" s="47"/>
      <c r="I12" s="48"/>
      <c r="J12" s="50">
        <f t="shared" ref="J12:J17" si="0">F12*B12</f>
        <v>1060</v>
      </c>
      <c r="L12" s="23"/>
      <c r="M12" s="5"/>
      <c r="O12" s="90"/>
      <c r="P12" s="49"/>
    </row>
    <row r="13" spans="1:16" s="3" customFormat="1" ht="20.100000000000001" customHeight="1">
      <c r="B13" s="41">
        <v>1</v>
      </c>
      <c r="C13" s="42" t="s">
        <v>143</v>
      </c>
      <c r="D13" s="43" t="s">
        <v>145</v>
      </c>
      <c r="E13" s="44"/>
      <c r="F13" s="45">
        <v>1060</v>
      </c>
      <c r="G13" s="46"/>
      <c r="H13" s="47"/>
      <c r="I13" s="48"/>
      <c r="J13" s="50">
        <f t="shared" si="0"/>
        <v>1060</v>
      </c>
      <c r="M13" s="1"/>
      <c r="N13" s="1"/>
      <c r="O13" s="4"/>
      <c r="P13" s="49"/>
    </row>
    <row r="14" spans="1:16" s="3" customFormat="1" ht="20.100000000000001" customHeight="1">
      <c r="B14" s="41">
        <v>1</v>
      </c>
      <c r="C14" s="42" t="s">
        <v>143</v>
      </c>
      <c r="D14" s="43" t="s">
        <v>146</v>
      </c>
      <c r="E14" s="44"/>
      <c r="F14" s="45">
        <v>1060</v>
      </c>
      <c r="G14" s="46"/>
      <c r="H14" s="47"/>
      <c r="I14" s="48"/>
      <c r="J14" s="50">
        <f t="shared" si="0"/>
        <v>1060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143</v>
      </c>
      <c r="D15" s="43" t="s">
        <v>147</v>
      </c>
      <c r="E15" s="44"/>
      <c r="F15" s="45">
        <v>1060</v>
      </c>
      <c r="G15" s="46"/>
      <c r="H15" s="47"/>
      <c r="I15" s="48"/>
      <c r="J15" s="50">
        <f t="shared" si="0"/>
        <v>1060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143</v>
      </c>
      <c r="D16" s="43" t="s">
        <v>148</v>
      </c>
      <c r="E16" s="44"/>
      <c r="F16" s="45">
        <v>1060</v>
      </c>
      <c r="G16" s="46"/>
      <c r="H16" s="47"/>
      <c r="I16" s="48"/>
      <c r="J16" s="50">
        <f t="shared" si="0"/>
        <v>1060</v>
      </c>
      <c r="M16" s="5"/>
      <c r="O16" s="4"/>
    </row>
    <row r="17" spans="2:16" s="3" customFormat="1" ht="20.100000000000001" customHeight="1">
      <c r="B17" s="41">
        <v>2</v>
      </c>
      <c r="C17" s="42"/>
      <c r="D17" s="43" t="s">
        <v>149</v>
      </c>
      <c r="E17" s="44"/>
      <c r="F17" s="45">
        <v>107</v>
      </c>
      <c r="G17" s="46"/>
      <c r="H17" s="47"/>
      <c r="I17" s="48"/>
      <c r="J17" s="50">
        <f t="shared" si="0"/>
        <v>214</v>
      </c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6574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L27" s="3">
        <f>4000+1267+1307</f>
        <v>6574</v>
      </c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DC189A-D356-43B8-94F8-48E3837A9428}">
  <sheetPr codeName="Sheet105"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134</v>
      </c>
      <c r="D3" s="187"/>
      <c r="E3" s="187"/>
      <c r="F3" s="10" t="s">
        <v>3</v>
      </c>
      <c r="G3" s="10"/>
      <c r="H3" s="10"/>
      <c r="I3" s="10"/>
      <c r="J3" s="75">
        <v>24</v>
      </c>
      <c r="O3" s="4"/>
    </row>
    <row r="4" spans="1:16" s="3" customFormat="1" ht="30" customHeight="1">
      <c r="B4" s="11" t="s">
        <v>5</v>
      </c>
      <c r="C4" s="12" t="s">
        <v>135</v>
      </c>
      <c r="D4" s="13"/>
      <c r="E4" s="13"/>
      <c r="F4" s="14" t="s">
        <v>6</v>
      </c>
      <c r="G4" s="15"/>
      <c r="H4" s="15"/>
      <c r="I4" s="15"/>
      <c r="J4" s="16">
        <v>45318</v>
      </c>
      <c r="L4" s="17"/>
      <c r="P4" s="4"/>
    </row>
    <row r="5" spans="1:16" s="3" customFormat="1" ht="30" customHeight="1">
      <c r="B5" s="11" t="s">
        <v>7</v>
      </c>
      <c r="C5" s="183" t="s">
        <v>136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137</v>
      </c>
      <c r="D11" s="43" t="s">
        <v>138</v>
      </c>
      <c r="E11" s="44"/>
      <c r="F11" s="45">
        <v>5650</v>
      </c>
      <c r="G11" s="76"/>
      <c r="H11" s="47"/>
      <c r="I11" s="48"/>
      <c r="J11" s="50">
        <f>F11*B11</f>
        <v>11300</v>
      </c>
      <c r="L11" s="23"/>
      <c r="M11" s="5"/>
      <c r="N11" s="5"/>
      <c r="P11" s="4"/>
    </row>
    <row r="12" spans="1:16" s="3" customFormat="1" ht="20.100000000000001" customHeight="1">
      <c r="B12" s="41">
        <v>7</v>
      </c>
      <c r="C12" s="42" t="s">
        <v>137</v>
      </c>
      <c r="D12" s="43" t="s">
        <v>139</v>
      </c>
      <c r="E12" s="44"/>
      <c r="F12" s="88">
        <v>980</v>
      </c>
      <c r="G12" s="89"/>
      <c r="H12" s="47"/>
      <c r="I12" s="48"/>
      <c r="J12" s="50">
        <f>F12*B12</f>
        <v>6860</v>
      </c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18160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F7CD32-15C1-403F-9B24-00C46D924F6C}">
  <sheetPr codeName="Sheet106">
    <tabColor rgb="FFC0000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131</v>
      </c>
      <c r="D3" s="195"/>
      <c r="E3" s="195"/>
      <c r="F3" s="10" t="s">
        <v>3</v>
      </c>
      <c r="G3" s="10"/>
      <c r="H3" s="10"/>
      <c r="I3" s="10"/>
      <c r="J3" s="75">
        <v>23</v>
      </c>
      <c r="O3" s="4"/>
    </row>
    <row r="4" spans="1:16" s="3" customFormat="1" ht="30" customHeight="1">
      <c r="B4" s="11" t="s">
        <v>5</v>
      </c>
      <c r="C4" s="12" t="s">
        <v>132</v>
      </c>
      <c r="D4" s="13"/>
      <c r="E4" s="13"/>
      <c r="F4" s="14" t="s">
        <v>6</v>
      </c>
      <c r="G4" s="15"/>
      <c r="H4" s="15"/>
      <c r="I4" s="15"/>
      <c r="J4" s="16">
        <v>45317</v>
      </c>
      <c r="L4" s="17"/>
      <c r="P4" s="4"/>
    </row>
    <row r="5" spans="1:16" s="3" customFormat="1" ht="30" customHeight="1">
      <c r="B5" s="11" t="s">
        <v>7</v>
      </c>
      <c r="C5" s="183" t="s">
        <v>46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133</v>
      </c>
      <c r="E11" s="197"/>
      <c r="F11" s="45">
        <v>1800</v>
      </c>
      <c r="G11" s="76"/>
      <c r="H11" s="47"/>
      <c r="I11" s="48"/>
      <c r="J11" s="50">
        <f>F11</f>
        <v>1800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6"/>
      <c r="E12" s="197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1800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1"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E426AD-9E22-45A0-8825-F98186B32813}">
  <sheetPr codeName="Sheet107">
    <tabColor rgb="FFC00000"/>
  </sheetPr>
  <dimension ref="A1:P45"/>
  <sheetViews>
    <sheetView view="pageBreakPreview" zoomScaleNormal="100" zoomScaleSheetLayoutView="10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72</v>
      </c>
      <c r="D3" s="195"/>
      <c r="E3" s="195"/>
      <c r="F3" s="10" t="s">
        <v>3</v>
      </c>
      <c r="G3" s="10"/>
      <c r="H3" s="10"/>
      <c r="I3" s="10"/>
      <c r="J3" s="75">
        <v>22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126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78</v>
      </c>
      <c r="E11" s="197"/>
      <c r="F11" s="45">
        <f>2078.39-500</f>
        <v>1578.3899999999999</v>
      </c>
      <c r="G11" s="76"/>
      <c r="H11" s="47"/>
      <c r="I11" s="48"/>
      <c r="J11" s="50">
        <f>F11</f>
        <v>1578.3899999999999</v>
      </c>
      <c r="L11" s="87">
        <f>1254-J11</f>
        <v>-324.38999999999987</v>
      </c>
      <c r="M11" s="5"/>
      <c r="N11" s="5"/>
      <c r="P11" s="4"/>
    </row>
    <row r="12" spans="1:16" s="3" customFormat="1" ht="20.100000000000001" customHeight="1">
      <c r="B12" s="41"/>
      <c r="C12" s="42"/>
      <c r="D12" s="196" t="s">
        <v>123</v>
      </c>
      <c r="E12" s="197"/>
      <c r="F12" s="45">
        <f>2080.83-500</f>
        <v>1580.83</v>
      </c>
      <c r="G12" s="76"/>
      <c r="H12" s="47"/>
      <c r="I12" s="48"/>
      <c r="J12" s="50">
        <f>F12</f>
        <v>1580.83</v>
      </c>
      <c r="M12" s="1"/>
      <c r="N12" s="1"/>
      <c r="O12" s="4"/>
    </row>
    <row r="13" spans="1:16" s="3" customFormat="1" ht="20.100000000000001" customHeight="1">
      <c r="B13" s="41"/>
      <c r="C13" s="42"/>
      <c r="D13" s="43" t="s">
        <v>127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128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129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130</v>
      </c>
      <c r="E26" s="170"/>
      <c r="F26" s="173" t="s">
        <v>15</v>
      </c>
      <c r="G26" s="174"/>
      <c r="H26" s="62"/>
      <c r="I26" s="62"/>
      <c r="J26" s="158">
        <f>SUM(J11:J25)</f>
        <v>3159.22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1">
    <mergeCell ref="J26:J27"/>
    <mergeCell ref="B42:C42"/>
    <mergeCell ref="D12:E12"/>
    <mergeCell ref="D23:E23"/>
    <mergeCell ref="D24:E24"/>
    <mergeCell ref="B26:B27"/>
    <mergeCell ref="C26:C27"/>
    <mergeCell ref="D26:E27"/>
    <mergeCell ref="F26:G27"/>
    <mergeCell ref="D22:E22"/>
    <mergeCell ref="D10:E10"/>
    <mergeCell ref="F10:G10"/>
    <mergeCell ref="D11:E11"/>
    <mergeCell ref="D17:E17"/>
    <mergeCell ref="D18:E18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5D963A-EEAB-4589-A63C-3D2ACBF8626F}">
  <sheetPr codeName="Sheet108">
    <tabColor rgb="FFC00000"/>
  </sheetPr>
  <dimension ref="A1:R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8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8" ht="15" thickTop="1"/>
    <row r="3" spans="1:18" s="3" customFormat="1" ht="30" customHeight="1">
      <c r="B3" s="9" t="s">
        <v>2</v>
      </c>
      <c r="C3" s="188" t="s">
        <v>83</v>
      </c>
      <c r="D3" s="188"/>
      <c r="E3" s="188"/>
      <c r="F3" s="10" t="s">
        <v>3</v>
      </c>
      <c r="G3" s="10"/>
      <c r="H3" s="10"/>
      <c r="I3" s="10"/>
      <c r="J3" s="75">
        <v>21</v>
      </c>
      <c r="L3" s="3" t="s">
        <v>4</v>
      </c>
      <c r="O3" s="4"/>
    </row>
    <row r="4" spans="1:18" s="3" customFormat="1" ht="30" customHeight="1">
      <c r="B4" s="11" t="s">
        <v>5</v>
      </c>
      <c r="C4" s="12" t="s">
        <v>124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>
        <f>1254/106</f>
        <v>11.830188679245284</v>
      </c>
    </row>
    <row r="5" spans="1:18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>
        <f>P4*34</f>
        <v>402.22641509433964</v>
      </c>
    </row>
    <row r="6" spans="1:18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414-380</f>
        <v>34</v>
      </c>
      <c r="Q6" s="86">
        <f>106-P6</f>
        <v>72</v>
      </c>
      <c r="R6" s="3">
        <f>P4*Q6</f>
        <v>851.77358490566041</v>
      </c>
    </row>
    <row r="7" spans="1:18" s="3" customFormat="1" ht="13.5" customHeight="1" thickBot="1">
      <c r="B7" s="23"/>
      <c r="C7" s="24"/>
      <c r="D7" s="24"/>
      <c r="G7" s="25"/>
      <c r="J7" s="26"/>
      <c r="P7" s="4"/>
    </row>
    <row r="8" spans="1:18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8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8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8" s="3" customFormat="1" ht="20.100000000000001" customHeight="1">
      <c r="B11" s="41"/>
      <c r="C11" s="42"/>
      <c r="D11" s="196" t="s">
        <v>125</v>
      </c>
      <c r="E11" s="197"/>
      <c r="F11" s="45">
        <v>126</v>
      </c>
      <c r="G11" s="76"/>
      <c r="H11" s="47"/>
      <c r="I11" s="48"/>
      <c r="J11" s="50">
        <f>F11</f>
        <v>126</v>
      </c>
      <c r="L11" s="85" t="s">
        <v>84</v>
      </c>
      <c r="M11" s="5"/>
      <c r="N11" s="5"/>
      <c r="P11" s="4"/>
    </row>
    <row r="12" spans="1:18" s="3" customFormat="1" ht="20.100000000000001" customHeight="1">
      <c r="B12" s="41"/>
      <c r="C12" s="42"/>
      <c r="D12" s="82" t="s">
        <v>85</v>
      </c>
      <c r="E12" s="83"/>
      <c r="F12" s="45">
        <v>10</v>
      </c>
      <c r="G12" s="46"/>
      <c r="H12" s="47"/>
      <c r="I12" s="48"/>
      <c r="J12" s="50">
        <f>F12</f>
        <v>10</v>
      </c>
      <c r="M12" s="1"/>
      <c r="N12" s="1"/>
      <c r="O12" s="4"/>
    </row>
    <row r="13" spans="1:18" s="3" customFormat="1" ht="20.100000000000001" customHeight="1">
      <c r="B13" s="41"/>
      <c r="C13" s="42"/>
      <c r="D13" s="82" t="s">
        <v>86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8" s="3" customFormat="1" ht="20.100000000000001" customHeight="1">
      <c r="B14" s="41"/>
      <c r="C14" s="42"/>
      <c r="D14" s="82" t="s">
        <v>87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8" s="3" customFormat="1" ht="20.100000000000001" customHeight="1">
      <c r="B15" s="41"/>
      <c r="C15" s="42"/>
      <c r="D15" s="82" t="s">
        <v>88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8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5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5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136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9">
    <mergeCell ref="B42:C42"/>
    <mergeCell ref="D24:E24"/>
    <mergeCell ref="B26:B27"/>
    <mergeCell ref="C26:C27"/>
    <mergeCell ref="D26:E27"/>
    <mergeCell ref="F26:G27"/>
    <mergeCell ref="J26:J27"/>
    <mergeCell ref="D10:E10"/>
    <mergeCell ref="F10:G10"/>
    <mergeCell ref="D11:E11"/>
    <mergeCell ref="D18:E18"/>
    <mergeCell ref="D22:E22"/>
    <mergeCell ref="D23:E23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3836C6-8949-466A-98CE-D587B0F8A6C8}">
  <sheetPr codeName="Sheet109">
    <tabColor rgb="FFC00000"/>
  </sheetPr>
  <dimension ref="A1:P45"/>
  <sheetViews>
    <sheetView view="pageBreakPreview" topLeftCell="A5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72</v>
      </c>
      <c r="D3" s="195"/>
      <c r="E3" s="195"/>
      <c r="F3" s="10" t="s">
        <v>3</v>
      </c>
      <c r="G3" s="10"/>
      <c r="H3" s="10"/>
      <c r="I3" s="10"/>
      <c r="J3" s="75">
        <v>20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122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123</v>
      </c>
      <c r="E11" s="197"/>
      <c r="F11" s="45">
        <v>755.99</v>
      </c>
      <c r="G11" s="76"/>
      <c r="H11" s="47"/>
      <c r="I11" s="48"/>
      <c r="J11" s="50">
        <f>F11</f>
        <v>755.99</v>
      </c>
      <c r="L11" s="87">
        <f>1254-J11</f>
        <v>498.01</v>
      </c>
      <c r="M11" s="5"/>
      <c r="N11" s="5"/>
      <c r="P11" s="4"/>
    </row>
    <row r="12" spans="1:16" s="3" customFormat="1" ht="20.100000000000001" customHeight="1">
      <c r="B12" s="41"/>
      <c r="C12" s="42"/>
      <c r="D12" s="43" t="s">
        <v>79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80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81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82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755.99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B42:C42"/>
    <mergeCell ref="D23:E23"/>
    <mergeCell ref="D24:E24"/>
    <mergeCell ref="B26:B27"/>
    <mergeCell ref="C26:C27"/>
    <mergeCell ref="D26:E27"/>
    <mergeCell ref="F26:G27"/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850C73-52F0-4D1E-B8A3-E99014CE5454}">
  <sheetPr codeName="Sheet110">
    <tabColor rgb="FF0070C0"/>
  </sheetPr>
  <dimension ref="A1:Q45"/>
  <sheetViews>
    <sheetView view="pageBreakPreview" topLeftCell="A4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7" ht="15" thickTop="1"/>
    <row r="3" spans="1:17" s="3" customFormat="1" ht="30" customHeight="1">
      <c r="B3" s="9" t="s">
        <v>2</v>
      </c>
      <c r="C3" s="188" t="s">
        <v>116</v>
      </c>
      <c r="D3" s="188"/>
      <c r="E3" s="188"/>
      <c r="F3" s="10" t="s">
        <v>3</v>
      </c>
      <c r="G3" s="10"/>
      <c r="H3" s="10"/>
      <c r="I3" s="10"/>
      <c r="J3" s="75">
        <v>19</v>
      </c>
      <c r="L3" s="3" t="s">
        <v>4</v>
      </c>
      <c r="O3" s="4"/>
    </row>
    <row r="4" spans="1:17" s="3" customFormat="1" ht="30" customHeight="1">
      <c r="B4" s="11" t="s">
        <v>5</v>
      </c>
      <c r="C4" s="12" t="s">
        <v>120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/>
    </row>
    <row r="5" spans="1:17" s="3" customFormat="1" ht="30" customHeight="1">
      <c r="B5" s="11" t="s">
        <v>7</v>
      </c>
      <c r="C5" s="183" t="s">
        <v>100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  <c r="Q6" s="3">
        <f>125000-1250</f>
        <v>123750</v>
      </c>
    </row>
    <row r="7" spans="1:17" s="3" customFormat="1" ht="13.5" customHeight="1" thickBot="1">
      <c r="B7" s="23"/>
      <c r="C7" s="24"/>
      <c r="D7" s="24"/>
      <c r="G7" s="25"/>
      <c r="J7" s="26"/>
      <c r="P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7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7" s="3" customFormat="1" ht="20.100000000000001" customHeight="1">
      <c r="B11" s="41">
        <v>1</v>
      </c>
      <c r="C11" s="42" t="s">
        <v>117</v>
      </c>
      <c r="D11" s="43" t="s">
        <v>118</v>
      </c>
      <c r="E11" s="44"/>
      <c r="F11" s="45">
        <v>25000</v>
      </c>
      <c r="G11" s="46"/>
      <c r="H11" s="47"/>
      <c r="I11" s="48"/>
      <c r="J11" s="45">
        <f>F11*B11</f>
        <v>25000</v>
      </c>
      <c r="M11" s="1"/>
      <c r="N11" s="1"/>
      <c r="O11" s="4"/>
      <c r="P11" s="49"/>
    </row>
    <row r="12" spans="1:17" s="3" customFormat="1" ht="20.100000000000001" customHeight="1">
      <c r="B12" s="41"/>
      <c r="C12" s="42"/>
      <c r="D12" s="43" t="s">
        <v>119</v>
      </c>
      <c r="E12" s="44"/>
      <c r="F12" s="45">
        <v>1000</v>
      </c>
      <c r="G12" s="46"/>
      <c r="H12" s="47"/>
      <c r="I12" s="48"/>
      <c r="J12" s="45">
        <v>1000</v>
      </c>
      <c r="M12" s="5"/>
      <c r="N12" s="4"/>
      <c r="O12" s="4"/>
    </row>
    <row r="13" spans="1:17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7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7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7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121</v>
      </c>
      <c r="E26" s="170"/>
      <c r="F26" s="173" t="s">
        <v>15</v>
      </c>
      <c r="G26" s="174"/>
      <c r="H26" s="62"/>
      <c r="I26" s="62"/>
      <c r="J26" s="158">
        <f>SUM(J11:J25)</f>
        <v>26000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  <c r="O45" s="8">
        <f>29.75+22+69.17+26.75</f>
        <v>147.67000000000002</v>
      </c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A59C5-55E5-4DCE-84A2-B2E032B07C60}">
  <sheetPr codeName="Sheet111">
    <tabColor rgb="FF0070C0"/>
  </sheetPr>
  <dimension ref="A1:P45"/>
  <sheetViews>
    <sheetView view="pageBreakPreview" topLeftCell="A2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88"/>
      <c r="D3" s="188"/>
      <c r="E3" s="188"/>
      <c r="F3" s="10" t="s">
        <v>3</v>
      </c>
      <c r="G3" s="10"/>
      <c r="H3" s="10"/>
      <c r="I3" s="10"/>
      <c r="J3" s="75">
        <v>18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3" t="s">
        <v>99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 t="shared" ref="J11:J16" si="0"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si="0"/>
        <v>4290</v>
      </c>
      <c r="M12" s="5"/>
      <c r="N12" s="4"/>
      <c r="O12" s="4"/>
    </row>
    <row r="13" spans="1:16" s="3" customFormat="1" ht="20.100000000000001" customHeight="1">
      <c r="B13" s="41">
        <v>1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3820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1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2320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17980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0585B1-A905-4C51-9868-55F36051F9B8}">
  <sheetPr codeName="Sheet112">
    <tabColor rgb="FF0070C0"/>
  </sheetPr>
  <dimension ref="A1:P45"/>
  <sheetViews>
    <sheetView view="pageBreakPreview" topLeftCell="A3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88"/>
      <c r="D3" s="188"/>
      <c r="E3" s="188"/>
      <c r="F3" s="10" t="s">
        <v>3</v>
      </c>
      <c r="G3" s="10"/>
      <c r="H3" s="10"/>
      <c r="I3" s="10"/>
      <c r="J3" s="75">
        <v>17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3" t="s">
        <v>96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 t="shared" ref="J11:J16" si="0"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si="0"/>
        <v>4290</v>
      </c>
      <c r="M12" s="5"/>
      <c r="N12" s="4"/>
      <c r="O12" s="4"/>
    </row>
    <row r="13" spans="1:16" s="3" customFormat="1" ht="20.100000000000001" customHeight="1">
      <c r="B13" s="41">
        <v>1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3820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1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2320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17980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5CCFC-B90B-4A00-925F-86A559C12050}">
  <sheetPr>
    <tabColor rgb="FF0070C0"/>
  </sheetPr>
  <dimension ref="A1:P45"/>
  <sheetViews>
    <sheetView view="pageBreakPreview" zoomScale="90" zoomScaleNormal="100" zoomScaleSheetLayoutView="90" workbookViewId="0">
      <selection activeCell="E14" sqref="E1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545</v>
      </c>
      <c r="D3" s="188"/>
      <c r="E3" s="188"/>
      <c r="F3" s="10" t="s">
        <v>3</v>
      </c>
      <c r="G3" s="10"/>
      <c r="H3" s="10"/>
      <c r="I3" s="10"/>
      <c r="J3" s="75">
        <v>202</v>
      </c>
      <c r="O3" s="4"/>
    </row>
    <row r="4" spans="1:16" s="3" customFormat="1" ht="30" customHeight="1">
      <c r="B4" s="11" t="s">
        <v>5</v>
      </c>
      <c r="C4" s="12" t="s">
        <v>652</v>
      </c>
      <c r="D4" s="13"/>
      <c r="E4" s="13"/>
      <c r="F4" s="14" t="s">
        <v>6</v>
      </c>
      <c r="G4" s="15"/>
      <c r="H4" s="15"/>
      <c r="I4" s="15"/>
      <c r="J4" s="16">
        <v>45456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143</v>
      </c>
      <c r="D11" s="193" t="s">
        <v>653</v>
      </c>
      <c r="E11" s="194"/>
      <c r="F11" s="45">
        <v>2000</v>
      </c>
      <c r="G11" s="76"/>
      <c r="H11" s="47"/>
      <c r="I11" s="48"/>
      <c r="J11" s="50">
        <f>F11*B11</f>
        <v>4000</v>
      </c>
      <c r="L11" s="80"/>
      <c r="M11" s="5"/>
      <c r="N11" s="5"/>
      <c r="P11" s="4"/>
    </row>
    <row r="12" spans="1:16" s="3" customFormat="1" ht="20.100000000000001" customHeight="1">
      <c r="B12" s="41">
        <v>2</v>
      </c>
      <c r="C12" s="42" t="s">
        <v>143</v>
      </c>
      <c r="D12" s="81" t="s">
        <v>654</v>
      </c>
      <c r="E12" s="44"/>
      <c r="F12" s="45">
        <v>3000</v>
      </c>
      <c r="G12" s="76"/>
      <c r="H12" s="47"/>
      <c r="I12" s="48"/>
      <c r="J12" s="50">
        <f>F12*B12</f>
        <v>6000</v>
      </c>
      <c r="M12" s="1"/>
      <c r="N12" s="1"/>
      <c r="O12" s="4"/>
    </row>
    <row r="13" spans="1:16" s="3" customFormat="1" ht="20.100000000000001" customHeight="1">
      <c r="B13" s="41">
        <v>2</v>
      </c>
      <c r="C13" s="42" t="s">
        <v>143</v>
      </c>
      <c r="D13" s="77" t="s">
        <v>655</v>
      </c>
      <c r="E13" s="44"/>
      <c r="F13" s="45">
        <v>20000</v>
      </c>
      <c r="G13" s="76"/>
      <c r="H13" s="47"/>
      <c r="I13" s="48"/>
      <c r="J13" s="50">
        <f>F13*B13</f>
        <v>40000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50000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8F0EBC-5660-4FE5-9654-D05F36E46CD0}">
  <sheetPr codeName="Sheet113">
    <tabColor rgb="FF0070C0"/>
  </sheetPr>
  <dimension ref="A1:P45"/>
  <sheetViews>
    <sheetView view="pageBreakPreview" topLeftCell="A6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88"/>
      <c r="D3" s="188"/>
      <c r="E3" s="188"/>
      <c r="F3" s="10" t="s">
        <v>3</v>
      </c>
      <c r="G3" s="10"/>
      <c r="H3" s="10"/>
      <c r="I3" s="10"/>
      <c r="J3" s="75">
        <v>16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3" t="s">
        <v>114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ref="J12:J17" si="0">F12*B12</f>
        <v>4290</v>
      </c>
      <c r="M12" s="5"/>
      <c r="N12" s="4"/>
      <c r="O12" s="4"/>
    </row>
    <row r="13" spans="1:16" s="3" customFormat="1" ht="20.100000000000001" customHeight="1">
      <c r="B13" s="41">
        <v>4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15280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2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4640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>
        <v>1</v>
      </c>
      <c r="C17" s="42" t="s">
        <v>31</v>
      </c>
      <c r="D17" s="43" t="s">
        <v>115</v>
      </c>
      <c r="E17" s="44"/>
      <c r="F17" s="45">
        <v>1450</v>
      </c>
      <c r="G17" s="46"/>
      <c r="H17" s="47"/>
      <c r="I17" s="48"/>
      <c r="J17" s="50">
        <f t="shared" si="0"/>
        <v>1450</v>
      </c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33210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1FE0E-7AE0-4B6B-A564-808870898894}">
  <sheetPr codeName="Sheet114">
    <tabColor rgb="FF0070C0"/>
  </sheetPr>
  <dimension ref="A1:P45"/>
  <sheetViews>
    <sheetView view="pageBreakPreview" topLeftCell="A4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88"/>
      <c r="D3" s="188"/>
      <c r="E3" s="188"/>
      <c r="F3" s="10" t="s">
        <v>3</v>
      </c>
      <c r="G3" s="10"/>
      <c r="H3" s="10"/>
      <c r="I3" s="10"/>
      <c r="J3" s="75">
        <v>15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 t="shared" ref="J11:J16" si="0"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si="0"/>
        <v>4290</v>
      </c>
      <c r="M12" s="5"/>
      <c r="N12" s="4"/>
      <c r="O12" s="4"/>
    </row>
    <row r="13" spans="1:16" s="3" customFormat="1" ht="20.100000000000001" customHeight="1">
      <c r="B13" s="41">
        <v>1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3820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2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4640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20300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E04E4-DB69-4176-B5DD-4507E3735166}">
  <sheetPr codeName="Sheet115">
    <tabColor rgb="FF00B0F0"/>
  </sheetPr>
  <dimension ref="A1:P45"/>
  <sheetViews>
    <sheetView view="pageBreakPreview" topLeftCell="A2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102</v>
      </c>
      <c r="D3" s="187"/>
      <c r="E3" s="187"/>
      <c r="F3" s="10" t="s">
        <v>3</v>
      </c>
      <c r="G3" s="10"/>
      <c r="H3" s="10"/>
      <c r="I3" s="10"/>
      <c r="J3" s="75">
        <v>14</v>
      </c>
      <c r="O3" s="4"/>
    </row>
    <row r="4" spans="1:16" s="3" customFormat="1" ht="30" customHeight="1">
      <c r="B4" s="11" t="s">
        <v>5</v>
      </c>
      <c r="C4" s="12" t="s">
        <v>103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240</v>
      </c>
      <c r="C11" s="42" t="s">
        <v>104</v>
      </c>
      <c r="D11" s="43" t="s">
        <v>105</v>
      </c>
      <c r="E11" s="44"/>
      <c r="F11" s="45">
        <v>20</v>
      </c>
      <c r="G11" s="46"/>
      <c r="H11" s="47"/>
      <c r="I11" s="48"/>
      <c r="J11" s="45">
        <f>F11*B11</f>
        <v>4800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50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4800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8ACD6F-A421-479F-9880-28BA1BCD5503}">
  <sheetPr codeName="Sheet116">
    <tabColor rgb="FFC00000"/>
  </sheetPr>
  <dimension ref="A1:P45"/>
  <sheetViews>
    <sheetView view="pageBreakPreview" topLeftCell="A4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72</v>
      </c>
      <c r="D3" s="195"/>
      <c r="E3" s="195"/>
      <c r="F3" s="10" t="s">
        <v>3</v>
      </c>
      <c r="G3" s="10"/>
      <c r="H3" s="10"/>
      <c r="I3" s="10"/>
      <c r="J3" s="75">
        <v>13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90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78</v>
      </c>
      <c r="E11" s="197"/>
      <c r="F11" s="45">
        <v>946.42</v>
      </c>
      <c r="G11" s="76"/>
      <c r="H11" s="47"/>
      <c r="I11" s="48"/>
      <c r="J11" s="50">
        <f>F11</f>
        <v>946.42</v>
      </c>
      <c r="L11" s="87">
        <f>1254-J11</f>
        <v>307.58000000000004</v>
      </c>
      <c r="M11" s="5"/>
      <c r="N11" s="5"/>
      <c r="P11" s="4"/>
    </row>
    <row r="12" spans="1:16" s="3" customFormat="1" ht="20.100000000000001" customHeight="1">
      <c r="B12" s="41"/>
      <c r="C12" s="42"/>
      <c r="D12" s="43" t="s">
        <v>79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80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81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82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946.42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F26:G27"/>
    <mergeCell ref="J26:J27"/>
    <mergeCell ref="B42:C42"/>
    <mergeCell ref="D18:E18"/>
    <mergeCell ref="D22:E22"/>
    <mergeCell ref="D23:E23"/>
    <mergeCell ref="D24:E24"/>
    <mergeCell ref="B26:B27"/>
    <mergeCell ref="C26:C27"/>
    <mergeCell ref="D26:E27"/>
    <mergeCell ref="D10:E10"/>
    <mergeCell ref="F10:G10"/>
    <mergeCell ref="D11:E11"/>
    <mergeCell ref="D17:E1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AAB54-A6E5-4755-AB9F-5268C64833D9}">
  <sheetPr codeName="Sheet117"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88" t="s">
        <v>93</v>
      </c>
      <c r="D3" s="188"/>
      <c r="E3" s="188"/>
      <c r="F3" s="10" t="s">
        <v>3</v>
      </c>
      <c r="G3" s="10"/>
      <c r="H3" s="10"/>
      <c r="I3" s="10"/>
      <c r="J3" s="75">
        <v>12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3" t="s">
        <v>100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18</v>
      </c>
      <c r="C11" s="42" t="s">
        <v>31</v>
      </c>
      <c r="D11" s="43" t="s">
        <v>101</v>
      </c>
      <c r="E11" s="44"/>
      <c r="F11" s="45">
        <v>4200</v>
      </c>
      <c r="G11" s="46"/>
      <c r="H11" s="47"/>
      <c r="I11" s="48"/>
      <c r="J11" s="45">
        <f>F11*B11</f>
        <v>75600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40000</v>
      </c>
      <c r="G12" s="46"/>
      <c r="H12" s="47"/>
      <c r="I12" s="48"/>
      <c r="J12" s="45">
        <f>F12</f>
        <v>40000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13872</v>
      </c>
      <c r="G13" s="46"/>
      <c r="H13" s="47"/>
      <c r="I13" s="48"/>
      <c r="J13" s="45">
        <f>F13</f>
        <v>13872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129472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49FF10-8DCD-4038-B66E-A5F61BCCAF82}">
  <sheetPr codeName="Sheet118">
    <tabColor rgb="FF0070C0"/>
  </sheetPr>
  <dimension ref="A1:P45"/>
  <sheetViews>
    <sheetView view="pageBreakPreview" zoomScale="90" zoomScaleNormal="100" zoomScaleSheetLayoutView="90" workbookViewId="0">
      <selection activeCell="F12" sqref="F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88" t="s">
        <v>93</v>
      </c>
      <c r="D3" s="188"/>
      <c r="E3" s="188"/>
      <c r="F3" s="10" t="s">
        <v>3</v>
      </c>
      <c r="G3" s="10"/>
      <c r="H3" s="10"/>
      <c r="I3" s="10"/>
      <c r="J3" s="75">
        <v>11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3" t="s">
        <v>99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25</v>
      </c>
      <c r="C11" s="42" t="s">
        <v>31</v>
      </c>
      <c r="D11" s="43" t="s">
        <v>98</v>
      </c>
      <c r="E11" s="44"/>
      <c r="F11" s="45">
        <v>4200</v>
      </c>
      <c r="G11" s="46"/>
      <c r="H11" s="47"/>
      <c r="I11" s="48"/>
      <c r="J11" s="45">
        <f>F11*B11</f>
        <v>105000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10000</v>
      </c>
      <c r="G12" s="46"/>
      <c r="H12" s="47"/>
      <c r="I12" s="48"/>
      <c r="J12" s="45">
        <f>F12</f>
        <v>10000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13800</v>
      </c>
      <c r="G13" s="46"/>
      <c r="H13" s="47"/>
      <c r="I13" s="48"/>
      <c r="J13" s="45">
        <f>F13</f>
        <v>13800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128800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40EEB3-1EFB-4D8A-BDFE-DAD73305E42D}">
  <sheetPr codeName="Sheet119">
    <tabColor rgb="FF0070C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88" t="s">
        <v>93</v>
      </c>
      <c r="D3" s="188"/>
      <c r="E3" s="188"/>
      <c r="F3" s="10" t="s">
        <v>3</v>
      </c>
      <c r="G3" s="10"/>
      <c r="H3" s="10"/>
      <c r="I3" s="10"/>
      <c r="J3" s="75">
        <v>10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3" t="s">
        <v>96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25</v>
      </c>
      <c r="C11" s="42" t="s">
        <v>31</v>
      </c>
      <c r="D11" s="43" t="s">
        <v>97</v>
      </c>
      <c r="E11" s="44"/>
      <c r="F11" s="45">
        <v>4200</v>
      </c>
      <c r="G11" s="46"/>
      <c r="H11" s="47"/>
      <c r="I11" s="48"/>
      <c r="J11" s="45">
        <f>F11*B11</f>
        <v>105000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10000</v>
      </c>
      <c r="G12" s="46"/>
      <c r="H12" s="47"/>
      <c r="I12" s="48"/>
      <c r="J12" s="45">
        <f>F12</f>
        <v>10000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13800</v>
      </c>
      <c r="G13" s="46"/>
      <c r="H13" s="47"/>
      <c r="I13" s="48"/>
      <c r="J13" s="45">
        <f>F13</f>
        <v>13800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128800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B59B6-22F9-427A-99F3-B70012532EE1}">
  <sheetPr codeName="Sheet120">
    <tabColor rgb="FFC00000"/>
  </sheetPr>
  <dimension ref="A1:R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8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8" ht="15" thickTop="1"/>
    <row r="3" spans="1:18" s="3" customFormat="1" ht="30" customHeight="1">
      <c r="B3" s="9" t="s">
        <v>2</v>
      </c>
      <c r="C3" s="188" t="s">
        <v>83</v>
      </c>
      <c r="D3" s="188"/>
      <c r="E3" s="188"/>
      <c r="F3" s="10" t="s">
        <v>3</v>
      </c>
      <c r="G3" s="10"/>
      <c r="H3" s="10"/>
      <c r="I3" s="10"/>
      <c r="J3" s="75">
        <v>9</v>
      </c>
      <c r="L3" s="3" t="s">
        <v>4</v>
      </c>
      <c r="O3" s="4"/>
    </row>
    <row r="4" spans="1:18" s="3" customFormat="1" ht="30" customHeight="1">
      <c r="B4" s="11" t="s">
        <v>5</v>
      </c>
      <c r="C4" s="12" t="s">
        <v>89</v>
      </c>
      <c r="D4" s="13"/>
      <c r="E4" s="13"/>
      <c r="F4" s="14" t="s">
        <v>6</v>
      </c>
      <c r="G4" s="15"/>
      <c r="H4" s="15"/>
      <c r="I4" s="15"/>
      <c r="J4" s="16">
        <v>45303</v>
      </c>
      <c r="L4" s="17"/>
      <c r="P4" s="4">
        <f>1254/106</f>
        <v>11.830188679245284</v>
      </c>
    </row>
    <row r="5" spans="1:18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>
        <f>P4*34</f>
        <v>402.22641509433964</v>
      </c>
    </row>
    <row r="6" spans="1:18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414-380</f>
        <v>34</v>
      </c>
      <c r="Q6" s="86">
        <f>106-P6</f>
        <v>72</v>
      </c>
      <c r="R6" s="3">
        <f>P4*Q6</f>
        <v>851.77358490566041</v>
      </c>
    </row>
    <row r="7" spans="1:18" s="3" customFormat="1" ht="13.5" customHeight="1" thickBot="1">
      <c r="B7" s="23"/>
      <c r="C7" s="24"/>
      <c r="D7" s="24"/>
      <c r="G7" s="25"/>
      <c r="J7" s="26"/>
      <c r="P7" s="4"/>
    </row>
    <row r="8" spans="1:18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8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8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8" s="3" customFormat="1" ht="20.100000000000001" customHeight="1">
      <c r="B11" s="41"/>
      <c r="C11" s="42"/>
      <c r="D11" s="196" t="s">
        <v>77</v>
      </c>
      <c r="E11" s="197"/>
      <c r="F11" s="45">
        <v>184</v>
      </c>
      <c r="G11" s="76"/>
      <c r="H11" s="47"/>
      <c r="I11" s="48"/>
      <c r="J11" s="50">
        <f>F11</f>
        <v>184</v>
      </c>
      <c r="L11" s="85" t="s">
        <v>84</v>
      </c>
      <c r="M11" s="5"/>
      <c r="N11" s="5"/>
      <c r="P11" s="4"/>
    </row>
    <row r="12" spans="1:18" s="3" customFormat="1" ht="20.100000000000001" customHeight="1">
      <c r="B12" s="41"/>
      <c r="C12" s="42"/>
      <c r="D12" s="82" t="s">
        <v>85</v>
      </c>
      <c r="E12" s="83"/>
      <c r="F12" s="45">
        <v>10</v>
      </c>
      <c r="G12" s="46"/>
      <c r="H12" s="47"/>
      <c r="I12" s="48"/>
      <c r="J12" s="50">
        <f>F12</f>
        <v>10</v>
      </c>
      <c r="M12" s="1"/>
      <c r="N12" s="1"/>
      <c r="O12" s="4"/>
    </row>
    <row r="13" spans="1:18" s="3" customFormat="1" ht="20.100000000000001" customHeight="1">
      <c r="B13" s="41"/>
      <c r="C13" s="42"/>
      <c r="D13" s="82" t="s">
        <v>86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8" s="3" customFormat="1" ht="20.100000000000001" customHeight="1">
      <c r="B14" s="41"/>
      <c r="C14" s="42"/>
      <c r="D14" s="82" t="s">
        <v>87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8" s="3" customFormat="1" ht="20.100000000000001" customHeight="1">
      <c r="B15" s="41"/>
      <c r="C15" s="42"/>
      <c r="D15" s="82" t="s">
        <v>88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8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5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5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194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9">
    <mergeCell ref="F26:G27"/>
    <mergeCell ref="J26:J27"/>
    <mergeCell ref="B42:C42"/>
    <mergeCell ref="D18:E18"/>
    <mergeCell ref="D22:E22"/>
    <mergeCell ref="D23:E23"/>
    <mergeCell ref="D24:E24"/>
    <mergeCell ref="B26:B27"/>
    <mergeCell ref="C26:C27"/>
    <mergeCell ref="D26:E27"/>
    <mergeCell ref="D10:E10"/>
    <mergeCell ref="F10:G10"/>
    <mergeCell ref="D11:E11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16F7EB-51BA-43DF-BF93-2414876C7D07}">
  <sheetPr codeName="Sheet121">
    <tabColor rgb="FFC00000"/>
  </sheetPr>
  <dimension ref="A1:P45"/>
  <sheetViews>
    <sheetView view="pageBreakPreview" topLeftCell="A4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72</v>
      </c>
      <c r="D3" s="195"/>
      <c r="E3" s="195"/>
      <c r="F3" s="10" t="s">
        <v>3</v>
      </c>
      <c r="G3" s="10"/>
      <c r="H3" s="10"/>
      <c r="I3" s="10"/>
      <c r="J3" s="75">
        <v>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73</v>
      </c>
      <c r="D4" s="13"/>
      <c r="E4" s="13"/>
      <c r="F4" s="14" t="s">
        <v>6</v>
      </c>
      <c r="G4" s="15"/>
      <c r="H4" s="15"/>
      <c r="I4" s="15"/>
      <c r="J4" s="16">
        <v>45303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78</v>
      </c>
      <c r="E11" s="197"/>
      <c r="F11" s="45">
        <v>88.71</v>
      </c>
      <c r="G11" s="76"/>
      <c r="H11" s="47"/>
      <c r="I11" s="48"/>
      <c r="J11" s="50">
        <f>F11</f>
        <v>88.71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88.71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F26:G27"/>
    <mergeCell ref="J26:J27"/>
    <mergeCell ref="B42:C42"/>
    <mergeCell ref="D18:E18"/>
    <mergeCell ref="D22:E22"/>
    <mergeCell ref="D23:E23"/>
    <mergeCell ref="D24:E24"/>
    <mergeCell ref="B26:B27"/>
    <mergeCell ref="C26:C27"/>
    <mergeCell ref="D26:E27"/>
    <mergeCell ref="D10:E10"/>
    <mergeCell ref="F10:G10"/>
    <mergeCell ref="D11:E11"/>
    <mergeCell ref="D17:E1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67117C-66E6-46DB-A0A1-87BDA20E22B8}">
  <sheetPr codeName="Sheet122">
    <tabColor rgb="FFC00000"/>
  </sheetPr>
  <dimension ref="A1:P45"/>
  <sheetViews>
    <sheetView showWhiteSpace="0" view="pageBreakPreview" topLeftCell="A3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66</v>
      </c>
      <c r="D3" s="195"/>
      <c r="E3" s="195"/>
      <c r="F3" s="10" t="s">
        <v>3</v>
      </c>
      <c r="G3" s="10"/>
      <c r="H3" s="10"/>
      <c r="I3" s="10"/>
      <c r="J3" s="75">
        <v>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67</v>
      </c>
      <c r="D4" s="13"/>
      <c r="E4" s="13"/>
      <c r="F4" s="14" t="s">
        <v>6</v>
      </c>
      <c r="G4" s="15"/>
      <c r="H4" s="15"/>
      <c r="I4" s="15"/>
      <c r="J4" s="16">
        <v>45303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77</v>
      </c>
      <c r="E11" s="197"/>
      <c r="F11" s="45">
        <v>204.5</v>
      </c>
      <c r="G11" s="76"/>
      <c r="H11" s="47"/>
      <c r="I11" s="48"/>
      <c r="J11" s="50">
        <f>F11</f>
        <v>204.5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82" t="s">
        <v>68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70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71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N24" s="3">
        <f>15*160</f>
        <v>2400</v>
      </c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204.5</v>
      </c>
      <c r="M26" s="63"/>
      <c r="N26" s="3">
        <v>0</v>
      </c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9">
    <mergeCell ref="J26:J27"/>
    <mergeCell ref="B42:C42"/>
    <mergeCell ref="D23:E23"/>
    <mergeCell ref="D24:E24"/>
    <mergeCell ref="B26:B27"/>
    <mergeCell ref="C26:C27"/>
    <mergeCell ref="D26:E27"/>
    <mergeCell ref="F26:G27"/>
    <mergeCell ref="D10:E10"/>
    <mergeCell ref="F10:G10"/>
    <mergeCell ref="D11:E11"/>
    <mergeCell ref="D18:E18"/>
    <mergeCell ref="D22:E22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6F467B-67F1-4E7B-814E-652E55CEB385}">
  <sheetPr>
    <tabColor rgb="FFC00000"/>
  </sheetPr>
  <dimension ref="A1:P45"/>
  <sheetViews>
    <sheetView view="pageBreakPreview" topLeftCell="A13" zoomScale="90" zoomScaleNormal="100" zoomScaleSheetLayoutView="90" workbookViewId="0">
      <selection activeCell="E20" sqref="E20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140</v>
      </c>
      <c r="D3" s="187"/>
      <c r="E3" s="187"/>
      <c r="F3" s="10" t="s">
        <v>3</v>
      </c>
      <c r="G3" s="10"/>
      <c r="H3" s="10"/>
      <c r="I3" s="10"/>
      <c r="J3" s="75">
        <v>201</v>
      </c>
      <c r="O3" s="4"/>
    </row>
    <row r="4" spans="1:16" s="3" customFormat="1" ht="30" customHeight="1">
      <c r="B4" s="11" t="s">
        <v>5</v>
      </c>
      <c r="C4" s="12" t="s">
        <v>650</v>
      </c>
      <c r="D4" s="13"/>
      <c r="E4" s="13"/>
      <c r="F4" s="14" t="s">
        <v>6</v>
      </c>
      <c r="G4" s="15"/>
      <c r="H4" s="15"/>
      <c r="I4" s="15"/>
      <c r="J4" s="16">
        <v>45454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143</v>
      </c>
      <c r="D11" s="43" t="s">
        <v>142</v>
      </c>
      <c r="E11" s="44"/>
      <c r="F11" s="45">
        <v>1122</v>
      </c>
      <c r="G11" s="76"/>
      <c r="H11" s="47"/>
      <c r="I11" s="48"/>
      <c r="J11" s="50">
        <f t="shared" ref="J11:J16" si="0">F11*B11</f>
        <v>1122</v>
      </c>
      <c r="L11" s="23">
        <v>1060</v>
      </c>
      <c r="M11" s="5">
        <v>62</v>
      </c>
      <c r="N11" s="5">
        <f t="shared" ref="N11:N16" si="1">L11+M11</f>
        <v>1122</v>
      </c>
      <c r="P11" s="4"/>
    </row>
    <row r="12" spans="1:16" s="3" customFormat="1" ht="20.100000000000001" customHeight="1">
      <c r="B12" s="41">
        <v>1</v>
      </c>
      <c r="C12" s="42" t="s">
        <v>143</v>
      </c>
      <c r="D12" s="43" t="s">
        <v>144</v>
      </c>
      <c r="E12" s="44"/>
      <c r="F12" s="88">
        <v>1122</v>
      </c>
      <c r="G12" s="89"/>
      <c r="H12" s="47"/>
      <c r="I12" s="48"/>
      <c r="J12" s="50">
        <f t="shared" si="0"/>
        <v>1122</v>
      </c>
      <c r="L12" s="23">
        <v>1060</v>
      </c>
      <c r="M12" s="5">
        <v>62</v>
      </c>
      <c r="N12" s="5">
        <f t="shared" si="1"/>
        <v>1122</v>
      </c>
      <c r="O12" s="90"/>
      <c r="P12" s="49"/>
    </row>
    <row r="13" spans="1:16" s="3" customFormat="1" ht="20.100000000000001" customHeight="1">
      <c r="B13" s="41">
        <v>1</v>
      </c>
      <c r="C13" s="42" t="s">
        <v>143</v>
      </c>
      <c r="D13" s="43" t="s">
        <v>145</v>
      </c>
      <c r="E13" s="44"/>
      <c r="F13" s="45">
        <v>1000</v>
      </c>
      <c r="G13" s="46"/>
      <c r="H13" s="47"/>
      <c r="I13" s="48"/>
      <c r="J13" s="50">
        <f t="shared" si="0"/>
        <v>1000</v>
      </c>
      <c r="L13" s="3">
        <v>1000</v>
      </c>
      <c r="M13" s="1"/>
      <c r="N13" s="5">
        <f t="shared" si="1"/>
        <v>1000</v>
      </c>
      <c r="O13" s="4"/>
      <c r="P13" s="49"/>
    </row>
    <row r="14" spans="1:16" s="3" customFormat="1" ht="20.100000000000001" customHeight="1">
      <c r="B14" s="41">
        <v>1</v>
      </c>
      <c r="C14" s="42" t="s">
        <v>143</v>
      </c>
      <c r="D14" s="43" t="s">
        <v>146</v>
      </c>
      <c r="E14" s="44"/>
      <c r="F14" s="45">
        <v>1000</v>
      </c>
      <c r="G14" s="46"/>
      <c r="H14" s="47"/>
      <c r="I14" s="48"/>
      <c r="J14" s="50">
        <f t="shared" si="0"/>
        <v>1000</v>
      </c>
      <c r="L14" s="3">
        <v>1000</v>
      </c>
      <c r="M14" s="1"/>
      <c r="N14" s="5">
        <f t="shared" si="1"/>
        <v>1000</v>
      </c>
      <c r="O14" s="4"/>
    </row>
    <row r="15" spans="1:16" s="3" customFormat="1" ht="20.100000000000001" customHeight="1">
      <c r="B15" s="41">
        <v>1</v>
      </c>
      <c r="C15" s="42" t="s">
        <v>143</v>
      </c>
      <c r="D15" s="43" t="s">
        <v>147</v>
      </c>
      <c r="E15" s="44"/>
      <c r="F15" s="45">
        <v>1000</v>
      </c>
      <c r="G15" s="46"/>
      <c r="H15" s="47"/>
      <c r="I15" s="48"/>
      <c r="J15" s="50">
        <f t="shared" si="0"/>
        <v>1000</v>
      </c>
      <c r="L15" s="3">
        <v>1000</v>
      </c>
      <c r="M15" s="1"/>
      <c r="N15" s="5">
        <f t="shared" si="1"/>
        <v>1000</v>
      </c>
      <c r="O15" s="4"/>
    </row>
    <row r="16" spans="1:16" s="3" customFormat="1" ht="20.100000000000001" customHeight="1">
      <c r="B16" s="41">
        <v>1</v>
      </c>
      <c r="C16" s="42" t="s">
        <v>143</v>
      </c>
      <c r="D16" s="43" t="s">
        <v>148</v>
      </c>
      <c r="E16" s="44"/>
      <c r="F16" s="45">
        <v>1000</v>
      </c>
      <c r="G16" s="46"/>
      <c r="H16" s="47"/>
      <c r="I16" s="48"/>
      <c r="J16" s="50">
        <f t="shared" si="0"/>
        <v>1000</v>
      </c>
      <c r="L16" s="3">
        <v>1000</v>
      </c>
      <c r="M16" s="5"/>
      <c r="N16" s="5">
        <f t="shared" si="1"/>
        <v>1000</v>
      </c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3">
        <f>SUM(L11:L16)</f>
        <v>6120</v>
      </c>
      <c r="M17" s="5"/>
      <c r="N17" s="4">
        <f>SUM(N11:N16)</f>
        <v>6244</v>
      </c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6244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L27" s="3">
        <f>4000+1267+1307</f>
        <v>6574</v>
      </c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6E844A-861A-488A-B564-B0D66A0C206C}">
  <sheetPr codeName="Sheet123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36</v>
      </c>
      <c r="D3" s="188"/>
      <c r="E3" s="188"/>
      <c r="F3" s="10" t="s">
        <v>3</v>
      </c>
      <c r="G3" s="10"/>
      <c r="H3" s="10"/>
      <c r="I3" s="10"/>
      <c r="J3" s="75">
        <v>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63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CA2AD1-E78F-4E9F-B056-1CE73E63A241}">
  <sheetPr codeName="Sheet124">
    <tabColor rgb="FFC00000"/>
  </sheetPr>
  <dimension ref="A1:P45"/>
  <sheetViews>
    <sheetView view="pageBreakPreview" zoomScale="90" zoomScaleNormal="100" zoomScaleSheetLayoutView="90" workbookViewId="0">
      <selection activeCell="L12" sqref="L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44</v>
      </c>
      <c r="D3" s="188"/>
      <c r="E3" s="188"/>
      <c r="F3" s="10" t="s">
        <v>3</v>
      </c>
      <c r="G3" s="10"/>
      <c r="H3" s="10"/>
      <c r="I3" s="10"/>
      <c r="J3" s="75">
        <v>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62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BD3000-4DC2-4341-BDF9-DEE7DE55CD4B}">
  <sheetPr codeName="Sheet12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52</v>
      </c>
      <c r="D3" s="188"/>
      <c r="E3" s="188"/>
      <c r="F3" s="10" t="s">
        <v>3</v>
      </c>
      <c r="G3" s="10"/>
      <c r="H3" s="10"/>
      <c r="I3" s="10"/>
      <c r="J3" s="75">
        <v>4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183" t="s">
        <v>54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60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8656D-DED3-40CC-9FC4-CABACC81815E}">
  <sheetPr codeName="Sheet126">
    <tabColor rgb="FFC00000"/>
  </sheetPr>
  <dimension ref="A1:P45"/>
  <sheetViews>
    <sheetView view="pageBreakPreview" zoomScale="70" zoomScaleNormal="100" zoomScaleSheetLayoutView="7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56</v>
      </c>
      <c r="D3" s="188"/>
      <c r="E3" s="188"/>
      <c r="F3" s="10" t="s">
        <v>3</v>
      </c>
      <c r="G3" s="10"/>
      <c r="H3" s="10"/>
      <c r="I3" s="10"/>
      <c r="J3" s="75">
        <v>3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65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79" t="s">
        <v>57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59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43" t="s">
        <v>61</v>
      </c>
      <c r="E13" s="44"/>
      <c r="F13" s="45">
        <v>7500</v>
      </c>
      <c r="G13" s="46"/>
      <c r="H13" s="47"/>
      <c r="I13" s="48"/>
      <c r="J13" s="50">
        <f>F13</f>
        <v>7500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241B83-7B51-4D99-B766-D51E69812AEA}">
  <sheetPr codeName="Sheet127">
    <tabColor rgb="FF00B0F0"/>
  </sheetPr>
  <dimension ref="A1:P45"/>
  <sheetViews>
    <sheetView view="pageBreakPreview" zoomScale="90" zoomScaleNormal="100" zoomScaleSheetLayoutView="90" workbookViewId="0">
      <selection activeCell="E15" sqref="E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88" t="s">
        <v>33</v>
      </c>
      <c r="D3" s="188"/>
      <c r="E3" s="188"/>
      <c r="F3" s="10" t="s">
        <v>3</v>
      </c>
      <c r="G3" s="10"/>
      <c r="H3" s="10"/>
      <c r="I3" s="10"/>
      <c r="J3" s="75">
        <v>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29</v>
      </c>
      <c r="D4" s="13"/>
      <c r="E4" s="13"/>
      <c r="F4" s="14" t="s">
        <v>6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3</v>
      </c>
      <c r="C11" s="42" t="s">
        <v>31</v>
      </c>
      <c r="D11" s="43" t="s">
        <v>32</v>
      </c>
      <c r="E11" s="44"/>
      <c r="F11" s="45">
        <v>659</v>
      </c>
      <c r="G11" s="46"/>
      <c r="H11" s="47"/>
      <c r="I11" s="48"/>
      <c r="J11" s="45">
        <f>F11*B11</f>
        <v>1977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50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N25" s="3">
        <f>1977/3</f>
        <v>659</v>
      </c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1977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D044CC-E769-41B5-BE1F-451131871E70}">
  <sheetPr codeName="Sheet128">
    <tabColor rgb="FF0070C0"/>
  </sheetPr>
  <dimension ref="A1:P45"/>
  <sheetViews>
    <sheetView view="pageBreakPreview" zoomScale="90" zoomScaleNormal="100" zoomScaleSheetLayoutView="90" workbookViewId="0">
      <selection activeCell="D19" sqref="D19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88" t="s">
        <v>93</v>
      </c>
      <c r="D3" s="188"/>
      <c r="E3" s="188"/>
      <c r="F3" s="10" t="s">
        <v>3</v>
      </c>
      <c r="G3" s="10"/>
      <c r="H3" s="10"/>
      <c r="I3" s="10"/>
      <c r="J3" s="75">
        <v>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3" t="s">
        <v>92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14</v>
      </c>
      <c r="C11" s="42" t="s">
        <v>31</v>
      </c>
      <c r="D11" s="43" t="s">
        <v>91</v>
      </c>
      <c r="E11" s="44"/>
      <c r="F11" s="45">
        <v>4200</v>
      </c>
      <c r="G11" s="46"/>
      <c r="H11" s="47"/>
      <c r="I11" s="48"/>
      <c r="J11" s="45">
        <f>F11*B11</f>
        <v>58800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10000</v>
      </c>
      <c r="G12" s="46"/>
      <c r="H12" s="47"/>
      <c r="I12" s="48"/>
      <c r="J12" s="45">
        <f>F12</f>
        <v>10000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8256</v>
      </c>
      <c r="G13" s="46"/>
      <c r="H13" s="47"/>
      <c r="I13" s="48"/>
      <c r="J13" s="45">
        <f>F13</f>
        <v>8256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77056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10FDC4-E121-4F72-90A6-4261E1E2F0B1}">
  <sheetPr>
    <tabColor rgb="FFC00000"/>
  </sheetPr>
  <dimension ref="A1:P45"/>
  <sheetViews>
    <sheetView view="pageBreakPreview" zoomScale="80" zoomScaleNormal="100" zoomScaleSheetLayoutView="80" workbookViewId="0">
      <selection activeCell="E19" sqref="E1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643</v>
      </c>
      <c r="D3" s="188"/>
      <c r="E3" s="188"/>
      <c r="F3" s="10" t="s">
        <v>3</v>
      </c>
      <c r="G3" s="10"/>
      <c r="H3" s="10"/>
      <c r="I3" s="10"/>
      <c r="J3" s="75">
        <v>200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210</v>
      </c>
      <c r="D4" s="13"/>
      <c r="E4" s="13"/>
      <c r="F4" s="14" t="s">
        <v>6</v>
      </c>
      <c r="G4" s="15"/>
      <c r="H4" s="15"/>
      <c r="I4" s="15"/>
      <c r="J4" s="16">
        <v>45463</v>
      </c>
      <c r="L4" s="17"/>
      <c r="P4" s="4"/>
    </row>
    <row r="5" spans="1:16" s="3" customFormat="1" ht="30" customHeight="1">
      <c r="B5" s="11" t="s">
        <v>7</v>
      </c>
      <c r="C5" s="79" t="s">
        <v>644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645</v>
      </c>
      <c r="E11" s="44"/>
      <c r="F11" s="45">
        <v>4000</v>
      </c>
      <c r="G11" s="76"/>
      <c r="H11" s="47"/>
      <c r="I11" s="48"/>
      <c r="J11" s="50">
        <f>F11</f>
        <v>4000</v>
      </c>
      <c r="L11" s="84" t="s">
        <v>646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647</v>
      </c>
      <c r="E12" s="44"/>
      <c r="F12" s="45">
        <v>1509.38</v>
      </c>
      <c r="G12" s="76"/>
      <c r="H12" s="47"/>
      <c r="I12" s="48"/>
      <c r="J12" s="50">
        <f>F12</f>
        <v>1509.38</v>
      </c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648</v>
      </c>
      <c r="E13" s="44"/>
      <c r="F13" s="45">
        <f>873+240</f>
        <v>1113</v>
      </c>
      <c r="G13" s="46"/>
      <c r="H13" s="47"/>
      <c r="I13" s="48"/>
      <c r="J13" s="50">
        <f>F13</f>
        <v>1113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649</v>
      </c>
      <c r="E14" s="44"/>
      <c r="F14" s="45">
        <v>1817.54</v>
      </c>
      <c r="G14" s="46"/>
      <c r="H14" s="47"/>
      <c r="I14" s="48"/>
      <c r="J14" s="50">
        <f>F14</f>
        <v>1817.54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8439.92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ADF68-4484-4331-8BF2-137A1A5F2395}">
  <sheetPr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639</v>
      </c>
      <c r="D3" s="187"/>
      <c r="E3" s="187"/>
      <c r="F3" s="10" t="s">
        <v>3</v>
      </c>
      <c r="G3" s="10"/>
      <c r="H3" s="10"/>
      <c r="I3" s="10"/>
      <c r="J3" s="75">
        <v>199</v>
      </c>
      <c r="L3" s="4"/>
      <c r="O3" s="4"/>
    </row>
    <row r="4" spans="1:16" s="3" customFormat="1" ht="30" customHeight="1">
      <c r="B4" s="11" t="s">
        <v>5</v>
      </c>
      <c r="C4" s="12" t="s">
        <v>640</v>
      </c>
      <c r="D4" s="13"/>
      <c r="E4" s="13"/>
      <c r="F4" s="14" t="s">
        <v>6</v>
      </c>
      <c r="G4" s="15"/>
      <c r="H4" s="15"/>
      <c r="I4" s="15"/>
      <c r="J4" s="16">
        <v>45450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f>56+42</f>
        <v>98</v>
      </c>
      <c r="C11" s="42" t="s">
        <v>641</v>
      </c>
      <c r="D11" s="43" t="s">
        <v>642</v>
      </c>
      <c r="E11" s="44"/>
      <c r="F11" s="45">
        <v>750</v>
      </c>
      <c r="G11" s="46"/>
      <c r="H11" s="47"/>
      <c r="I11" s="48"/>
      <c r="J11" s="50">
        <f>F11*B11</f>
        <v>73500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73500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2CE411-485C-4CAF-8CFF-1E0FE8783E62}">
  <sheetPr>
    <tabColor rgb="FF00B0F0"/>
  </sheetPr>
  <dimension ref="A1:P45"/>
  <sheetViews>
    <sheetView view="pageBreakPreview" zoomScale="70" zoomScaleNormal="100" zoomScaleSheetLayoutView="70" workbookViewId="0">
      <selection activeCell="E18" sqref="E18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2" t="s">
        <v>676</v>
      </c>
      <c r="D3" s="182"/>
      <c r="E3" s="182"/>
      <c r="F3" s="10" t="s">
        <v>3</v>
      </c>
      <c r="G3" s="10"/>
      <c r="H3" s="10"/>
      <c r="I3" s="10"/>
      <c r="J3" s="75">
        <v>216</v>
      </c>
      <c r="O3" s="4"/>
    </row>
    <row r="4" spans="1:16" s="3" customFormat="1" ht="30" customHeight="1">
      <c r="B4" s="11" t="s">
        <v>5</v>
      </c>
      <c r="C4" s="12" t="s">
        <v>714</v>
      </c>
      <c r="D4" s="13"/>
      <c r="E4" s="13"/>
      <c r="F4" s="14" t="s">
        <v>6</v>
      </c>
      <c r="G4" s="15"/>
      <c r="H4" s="15"/>
      <c r="I4" s="15"/>
      <c r="J4" s="16">
        <v>45478</v>
      </c>
      <c r="L4" s="17"/>
      <c r="P4" s="4"/>
    </row>
    <row r="5" spans="1:16" s="3" customFormat="1" ht="30" customHeight="1">
      <c r="B5" s="11" t="s">
        <v>7</v>
      </c>
      <c r="C5" s="183" t="s">
        <v>711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158</v>
      </c>
      <c r="D11" s="43" t="s">
        <v>674</v>
      </c>
      <c r="E11" s="44"/>
      <c r="F11" s="45">
        <v>6000</v>
      </c>
      <c r="G11" s="46"/>
      <c r="H11" s="47"/>
      <c r="I11" s="48"/>
      <c r="J11" s="45">
        <f>F11*B11</f>
        <v>6000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45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6000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6" t="s">
        <v>681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D5472-0326-4FB9-B83E-6E9F1DAD04A6}">
  <sheetPr>
    <tabColor rgb="FFC0000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331</v>
      </c>
      <c r="D3" s="188"/>
      <c r="E3" s="188"/>
      <c r="F3" s="10" t="s">
        <v>3</v>
      </c>
      <c r="G3" s="10"/>
      <c r="H3" s="10"/>
      <c r="I3" s="10"/>
      <c r="J3" s="75">
        <v>198</v>
      </c>
      <c r="O3" s="4"/>
    </row>
    <row r="4" spans="1:16" s="3" customFormat="1" ht="30" customHeight="1">
      <c r="B4" s="11" t="s">
        <v>5</v>
      </c>
      <c r="C4" s="12" t="s">
        <v>332</v>
      </c>
      <c r="D4" s="13"/>
      <c r="E4" s="13"/>
      <c r="F4" s="14" t="s">
        <v>6</v>
      </c>
      <c r="G4" s="15"/>
      <c r="H4" s="15"/>
      <c r="I4" s="15"/>
      <c r="J4" s="16">
        <v>45448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651</v>
      </c>
      <c r="E11" s="4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638</v>
      </c>
      <c r="E13" s="44"/>
      <c r="F13" s="45">
        <v>2500</v>
      </c>
      <c r="G13" s="76"/>
      <c r="H13" s="47"/>
      <c r="I13" s="48"/>
      <c r="J13" s="50">
        <f>F13</f>
        <v>2500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ABE9E-3134-4148-94D9-40E370A9ED1E}">
  <sheetPr>
    <tabColor rgb="FFC00000"/>
  </sheetPr>
  <dimension ref="A1:P45"/>
  <sheetViews>
    <sheetView view="pageBreakPreview" zoomScale="80" zoomScaleNormal="100" zoomScaleSheetLayoutView="8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239</v>
      </c>
      <c r="D3" s="188"/>
      <c r="E3" s="188"/>
      <c r="F3" s="10" t="s">
        <v>3</v>
      </c>
      <c r="G3" s="10"/>
      <c r="H3" s="10"/>
      <c r="I3" s="10"/>
      <c r="J3" s="75">
        <v>197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45448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58</v>
      </c>
      <c r="E11" s="4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637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7000</v>
      </c>
      <c r="M26" s="63"/>
      <c r="O26" s="4">
        <f>10000-O25</f>
        <v>165.29999999999927</v>
      </c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2F74AA-2850-4665-A67C-16A67B1A68BB}">
  <sheetPr>
    <tabColor rgb="FF00B0F0"/>
  </sheetPr>
  <dimension ref="A1:P45"/>
  <sheetViews>
    <sheetView view="pageBreakPreview" topLeftCell="A2" zoomScale="90" zoomScaleNormal="100" zoomScaleSheetLayoutView="90" workbookViewId="0">
      <selection activeCell="D18" sqref="D18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623</v>
      </c>
      <c r="D3" s="187"/>
      <c r="E3" s="187"/>
      <c r="F3" s="10" t="s">
        <v>3</v>
      </c>
      <c r="G3" s="10"/>
      <c r="H3" s="10"/>
      <c r="I3" s="10"/>
      <c r="J3" s="75">
        <v>196</v>
      </c>
      <c r="L3" s="4"/>
      <c r="O3" s="4"/>
    </row>
    <row r="4" spans="1:16" s="3" customFormat="1" ht="30" customHeight="1">
      <c r="B4" s="11" t="s">
        <v>5</v>
      </c>
      <c r="C4" s="12" t="s">
        <v>624</v>
      </c>
      <c r="D4" s="13"/>
      <c r="E4" s="13"/>
      <c r="F4" s="14" t="s">
        <v>6</v>
      </c>
      <c r="G4" s="15"/>
      <c r="H4" s="15"/>
      <c r="I4" s="15"/>
      <c r="J4" s="16">
        <v>45448</v>
      </c>
      <c r="L4" s="4"/>
      <c r="P4" s="4"/>
    </row>
    <row r="5" spans="1:16" s="3" customFormat="1" ht="30" customHeight="1">
      <c r="B5" s="11" t="s">
        <v>7</v>
      </c>
      <c r="C5" s="183" t="s">
        <v>136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625</v>
      </c>
      <c r="D11" s="43" t="s">
        <v>626</v>
      </c>
      <c r="E11" s="44"/>
      <c r="F11" s="45">
        <v>210</v>
      </c>
      <c r="G11" s="46"/>
      <c r="H11" s="47"/>
      <c r="I11" s="48"/>
      <c r="J11" s="50">
        <f>F11*B11</f>
        <v>840</v>
      </c>
      <c r="L11" s="4"/>
      <c r="M11" s="1"/>
      <c r="N11" s="1"/>
      <c r="O11" s="4"/>
    </row>
    <row r="12" spans="1:16" s="3" customFormat="1" ht="20.100000000000001" customHeight="1">
      <c r="B12" s="41">
        <v>15</v>
      </c>
      <c r="C12" s="42" t="s">
        <v>137</v>
      </c>
      <c r="D12" s="43" t="s">
        <v>627</v>
      </c>
      <c r="E12" s="44"/>
      <c r="F12" s="45">
        <v>13.5</v>
      </c>
      <c r="G12" s="76"/>
      <c r="H12" s="47"/>
      <c r="I12" s="48"/>
      <c r="J12" s="50">
        <f t="shared" ref="J12:J20" si="0">F12*B12</f>
        <v>202.5</v>
      </c>
      <c r="L12" s="93"/>
      <c r="M12" s="5"/>
      <c r="N12" s="5"/>
      <c r="P12" s="4"/>
    </row>
    <row r="13" spans="1:16" s="3" customFormat="1" ht="20.100000000000001" customHeight="1">
      <c r="B13" s="41">
        <v>1</v>
      </c>
      <c r="C13" s="42" t="s">
        <v>628</v>
      </c>
      <c r="D13" s="43" t="s">
        <v>629</v>
      </c>
      <c r="E13" s="106"/>
      <c r="F13" s="45">
        <v>75</v>
      </c>
      <c r="G13" s="89"/>
      <c r="H13" s="47"/>
      <c r="I13" s="48"/>
      <c r="J13" s="50">
        <f t="shared" si="0"/>
        <v>75</v>
      </c>
      <c r="L13" s="144"/>
      <c r="M13" s="5"/>
      <c r="O13" s="90"/>
      <c r="P13" s="49"/>
    </row>
    <row r="14" spans="1:16" s="3" customFormat="1" ht="20.100000000000001" customHeight="1">
      <c r="B14" s="41">
        <v>5</v>
      </c>
      <c r="C14" s="42" t="s">
        <v>137</v>
      </c>
      <c r="D14" s="43" t="s">
        <v>630</v>
      </c>
      <c r="E14" s="57"/>
      <c r="F14" s="45">
        <v>25</v>
      </c>
      <c r="G14" s="76"/>
      <c r="H14" s="47"/>
      <c r="I14" s="48"/>
      <c r="J14" s="50">
        <f t="shared" si="0"/>
        <v>125</v>
      </c>
      <c r="L14" s="4"/>
      <c r="M14" s="148"/>
      <c r="N14" s="1"/>
      <c r="O14" s="4"/>
      <c r="P14" s="49"/>
    </row>
    <row r="15" spans="1:16" s="3" customFormat="1" ht="20.100000000000001" customHeight="1">
      <c r="B15" s="41">
        <v>20</v>
      </c>
      <c r="C15" s="42" t="s">
        <v>137</v>
      </c>
      <c r="D15" s="43" t="s">
        <v>631</v>
      </c>
      <c r="E15" s="44"/>
      <c r="F15" s="45">
        <v>6</v>
      </c>
      <c r="G15" s="89"/>
      <c r="H15" s="47"/>
      <c r="I15" s="48"/>
      <c r="J15" s="50">
        <f t="shared" si="0"/>
        <v>120</v>
      </c>
      <c r="L15" s="4"/>
      <c r="M15" s="1"/>
      <c r="N15" s="1"/>
      <c r="O15" s="4"/>
    </row>
    <row r="16" spans="1:16" s="3" customFormat="1" ht="20.100000000000001" customHeight="1">
      <c r="B16" s="41">
        <v>1</v>
      </c>
      <c r="C16" s="42" t="s">
        <v>628</v>
      </c>
      <c r="D16" s="43" t="s">
        <v>632</v>
      </c>
      <c r="E16" s="109"/>
      <c r="F16" s="45">
        <v>22</v>
      </c>
      <c r="G16" s="46"/>
      <c r="H16" s="47"/>
      <c r="I16" s="48"/>
      <c r="J16" s="50">
        <f t="shared" si="0"/>
        <v>22</v>
      </c>
      <c r="L16" s="93"/>
      <c r="M16" s="5"/>
      <c r="O16" s="90"/>
      <c r="P16" s="49"/>
    </row>
    <row r="17" spans="2:16" s="3" customFormat="1" ht="20.100000000000001" customHeight="1">
      <c r="B17" s="41">
        <v>1</v>
      </c>
      <c r="C17" s="42" t="s">
        <v>628</v>
      </c>
      <c r="D17" s="43" t="s">
        <v>633</v>
      </c>
      <c r="E17" s="59"/>
      <c r="F17" s="110">
        <v>78</v>
      </c>
      <c r="G17" s="46"/>
      <c r="H17" s="47"/>
      <c r="I17" s="48"/>
      <c r="J17" s="50">
        <f t="shared" si="0"/>
        <v>78</v>
      </c>
      <c r="L17" s="4"/>
      <c r="M17" s="1"/>
      <c r="N17" s="1"/>
      <c r="O17" s="4"/>
      <c r="P17" s="49"/>
    </row>
    <row r="18" spans="2:16" s="3" customFormat="1" ht="20.100000000000001" customHeight="1">
      <c r="B18" s="41">
        <v>1</v>
      </c>
      <c r="C18" s="42" t="s">
        <v>137</v>
      </c>
      <c r="D18" s="43" t="s">
        <v>634</v>
      </c>
      <c r="E18" s="57"/>
      <c r="F18" s="110">
        <v>330</v>
      </c>
      <c r="G18" s="46"/>
      <c r="H18" s="47"/>
      <c r="I18" s="48"/>
      <c r="J18" s="50">
        <f t="shared" si="0"/>
        <v>330</v>
      </c>
      <c r="L18" s="4"/>
      <c r="M18" s="1"/>
      <c r="N18" s="1"/>
      <c r="O18" s="4"/>
    </row>
    <row r="19" spans="2:16" s="3" customFormat="1" ht="20.100000000000001" customHeight="1">
      <c r="B19" s="41">
        <v>10</v>
      </c>
      <c r="C19" s="42" t="s">
        <v>137</v>
      </c>
      <c r="D19" s="43" t="s">
        <v>635</v>
      </c>
      <c r="E19" s="57"/>
      <c r="F19" s="110">
        <v>3</v>
      </c>
      <c r="G19" s="46"/>
      <c r="H19" s="47"/>
      <c r="I19" s="48"/>
      <c r="J19" s="50">
        <f t="shared" si="0"/>
        <v>30</v>
      </c>
      <c r="L19" s="4"/>
      <c r="M19" s="5"/>
      <c r="N19" s="56"/>
      <c r="O19" s="4"/>
    </row>
    <row r="20" spans="2:16" s="3" customFormat="1" ht="20.100000000000001" customHeight="1">
      <c r="B20" s="41">
        <v>4</v>
      </c>
      <c r="C20" s="42" t="s">
        <v>137</v>
      </c>
      <c r="D20" s="43" t="s">
        <v>636</v>
      </c>
      <c r="E20" s="57"/>
      <c r="F20" s="110">
        <v>35</v>
      </c>
      <c r="G20" s="46"/>
      <c r="H20" s="47"/>
      <c r="I20" s="48"/>
      <c r="J20" s="50">
        <f t="shared" si="0"/>
        <v>140</v>
      </c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1962.5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B4ECFA-2EDC-42B7-8A81-D5D3CF308A6A}">
  <sheetPr>
    <tabColor rgb="FF00B0F0"/>
  </sheetPr>
  <dimension ref="A1:P45"/>
  <sheetViews>
    <sheetView view="pageBreakPreview" topLeftCell="A2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620</v>
      </c>
      <c r="D3" s="191"/>
      <c r="E3" s="191"/>
      <c r="F3" s="10" t="s">
        <v>3</v>
      </c>
      <c r="G3" s="10"/>
      <c r="H3" s="10"/>
      <c r="I3" s="10"/>
      <c r="J3" s="75">
        <v>195</v>
      </c>
      <c r="L3" s="4"/>
      <c r="O3" s="4"/>
    </row>
    <row r="4" spans="1:16" s="3" customFormat="1" ht="30" customHeight="1">
      <c r="B4" s="11" t="s">
        <v>5</v>
      </c>
      <c r="C4" s="12" t="s">
        <v>622</v>
      </c>
      <c r="D4" s="13"/>
      <c r="E4" s="13"/>
      <c r="F4" s="14" t="s">
        <v>6</v>
      </c>
      <c r="G4" s="15"/>
      <c r="H4" s="15"/>
      <c r="I4" s="15"/>
      <c r="J4" s="16">
        <v>45447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</v>
      </c>
      <c r="D11" s="98" t="s">
        <v>621</v>
      </c>
      <c r="E11" s="44"/>
      <c r="F11" s="45">
        <v>3669</v>
      </c>
      <c r="G11" s="46"/>
      <c r="H11" s="47"/>
      <c r="I11" s="48"/>
      <c r="J11" s="50">
        <f>F11*B11</f>
        <v>3669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147"/>
      <c r="E12" s="44"/>
      <c r="F12" s="45"/>
      <c r="G12" s="76"/>
      <c r="H12" s="47"/>
      <c r="I12" s="48"/>
      <c r="J12" s="50">
        <f>4998-J11</f>
        <v>1329</v>
      </c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4998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2A36BE-F1E6-44A1-8C47-86B3F7E995B8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614</v>
      </c>
      <c r="D3" s="187"/>
      <c r="E3" s="187"/>
      <c r="F3" s="10" t="s">
        <v>3</v>
      </c>
      <c r="G3" s="10"/>
      <c r="H3" s="10"/>
      <c r="I3" s="10"/>
      <c r="J3" s="75">
        <v>194</v>
      </c>
      <c r="L3" s="4"/>
      <c r="O3" s="4"/>
    </row>
    <row r="4" spans="1:16" s="3" customFormat="1" ht="30" customHeight="1">
      <c r="B4" s="11" t="s">
        <v>5</v>
      </c>
      <c r="C4" s="12" t="s">
        <v>615</v>
      </c>
      <c r="D4" s="13"/>
      <c r="E4" s="13"/>
      <c r="F4" s="14" t="s">
        <v>6</v>
      </c>
      <c r="G4" s="15"/>
      <c r="H4" s="15"/>
      <c r="I4" s="15"/>
      <c r="J4" s="16">
        <v>45447</v>
      </c>
      <c r="L4" s="4"/>
      <c r="P4" s="4"/>
    </row>
    <row r="5" spans="1:16" s="3" customFormat="1" ht="30" customHeight="1">
      <c r="B5" s="11" t="s">
        <v>7</v>
      </c>
      <c r="C5" s="183" t="s">
        <v>136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616</v>
      </c>
      <c r="D11" s="98" t="s">
        <v>617</v>
      </c>
      <c r="E11" s="44"/>
      <c r="F11" s="45">
        <v>5495</v>
      </c>
      <c r="G11" s="46"/>
      <c r="H11" s="47"/>
      <c r="I11" s="48"/>
      <c r="J11" s="50">
        <f>F11*B11</f>
        <v>5495</v>
      </c>
      <c r="L11" s="4"/>
      <c r="M11" s="148"/>
      <c r="N11" s="149"/>
      <c r="O11" s="4"/>
    </row>
    <row r="12" spans="1:16" s="3" customFormat="1" ht="20.100000000000001" customHeight="1">
      <c r="B12" s="41"/>
      <c r="C12" s="42"/>
      <c r="D12" s="153" t="s">
        <v>618</v>
      </c>
      <c r="E12" s="44"/>
      <c r="F12" s="45"/>
      <c r="G12" s="76"/>
      <c r="H12" s="47"/>
      <c r="I12" s="48"/>
      <c r="J12" s="50"/>
      <c r="L12" s="93"/>
      <c r="M12" s="148"/>
      <c r="N12" s="149"/>
      <c r="P12" s="4"/>
    </row>
    <row r="13" spans="1:16" s="3" customFormat="1" ht="20.100000000000001" customHeight="1">
      <c r="B13" s="41"/>
      <c r="C13" s="42"/>
      <c r="D13" s="154" t="s">
        <v>619</v>
      </c>
      <c r="E13" s="44"/>
      <c r="F13" s="45"/>
      <c r="G13" s="89"/>
      <c r="H13" s="47"/>
      <c r="I13" s="48"/>
      <c r="J13" s="50"/>
      <c r="L13" s="144"/>
      <c r="M13" s="148"/>
      <c r="N13" s="149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48"/>
      <c r="N14" s="149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48"/>
      <c r="N15" s="149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148"/>
      <c r="N16" s="149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48"/>
      <c r="N17" s="149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5495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26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0B01F7-5A35-413B-9D0C-DDAD8780186B}">
  <sheetPr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193</v>
      </c>
      <c r="L3" s="4"/>
      <c r="O3" s="4"/>
    </row>
    <row r="4" spans="1:16" s="3" customFormat="1" ht="30" customHeight="1">
      <c r="B4" s="11" t="s">
        <v>5</v>
      </c>
      <c r="C4" s="12" t="s">
        <v>610</v>
      </c>
      <c r="D4" s="13"/>
      <c r="E4" s="13"/>
      <c r="F4" s="14" t="s">
        <v>6</v>
      </c>
      <c r="G4" s="15"/>
      <c r="H4" s="15"/>
      <c r="I4" s="15"/>
      <c r="J4" s="16">
        <v>45447</v>
      </c>
      <c r="L4" s="4"/>
      <c r="P4" s="4"/>
    </row>
    <row r="5" spans="1:16" s="3" customFormat="1" ht="30" customHeight="1">
      <c r="B5" s="11" t="s">
        <v>7</v>
      </c>
      <c r="C5" s="183" t="s">
        <v>611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32</v>
      </c>
      <c r="C11" s="42" t="s">
        <v>137</v>
      </c>
      <c r="D11" s="98" t="s">
        <v>612</v>
      </c>
      <c r="E11" s="44"/>
      <c r="F11" s="45">
        <v>80</v>
      </c>
      <c r="G11" s="46"/>
      <c r="H11" s="47"/>
      <c r="I11" s="48"/>
      <c r="J11" s="50">
        <f>F11*B11</f>
        <v>2560</v>
      </c>
      <c r="L11" s="4"/>
      <c r="M11" s="148"/>
      <c r="N11" s="149"/>
      <c r="O11" s="4"/>
    </row>
    <row r="12" spans="1:16" s="3" customFormat="1" ht="20.100000000000001" customHeight="1">
      <c r="B12" s="41">
        <v>30</v>
      </c>
      <c r="C12" s="42" t="s">
        <v>137</v>
      </c>
      <c r="D12" s="98" t="s">
        <v>613</v>
      </c>
      <c r="E12" s="44"/>
      <c r="F12" s="45">
        <v>175</v>
      </c>
      <c r="G12" s="76"/>
      <c r="H12" s="47"/>
      <c r="I12" s="48"/>
      <c r="J12" s="50">
        <f>F12*B12</f>
        <v>5250</v>
      </c>
      <c r="L12" s="93"/>
      <c r="M12" s="148"/>
      <c r="N12" s="149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144"/>
      <c r="M13" s="148"/>
      <c r="N13" s="149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48"/>
      <c r="N14" s="149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48"/>
      <c r="N15" s="149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148"/>
      <c r="N16" s="149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48"/>
      <c r="N17" s="149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7810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9984EC-DB3C-462B-8232-718178C1D8FF}">
  <sheetPr>
    <tabColor rgb="FF0070C0"/>
  </sheetPr>
  <dimension ref="A1:P50"/>
  <sheetViews>
    <sheetView view="pageBreakPreview" zoomScale="80" zoomScaleNormal="100" zoomScaleSheetLayoutView="80" workbookViewId="0">
      <selection activeCell="E39" sqref="E3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7" t="s">
        <v>348</v>
      </c>
      <c r="D3" s="187"/>
      <c r="E3" s="187"/>
      <c r="F3" s="10" t="s">
        <v>3</v>
      </c>
      <c r="G3" s="10"/>
      <c r="H3" s="10"/>
      <c r="I3" s="10"/>
      <c r="J3" s="75">
        <v>192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45447</v>
      </c>
      <c r="L4" s="103"/>
      <c r="P4" s="4"/>
    </row>
    <row r="5" spans="1:16" s="3" customFormat="1" ht="30" customHeight="1">
      <c r="B5" s="11" t="s">
        <v>7</v>
      </c>
      <c r="C5" s="183" t="s">
        <v>114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106.82</v>
      </c>
      <c r="C10" s="42" t="s">
        <v>280</v>
      </c>
      <c r="D10" s="151" t="s">
        <v>563</v>
      </c>
      <c r="E10" s="152"/>
      <c r="F10" s="45">
        <v>500</v>
      </c>
      <c r="G10" s="76"/>
      <c r="H10" s="47"/>
      <c r="I10" s="48"/>
      <c r="J10" s="50">
        <f>F10*B10</f>
        <v>53410</v>
      </c>
      <c r="M10" s="5"/>
      <c r="O10" s="4"/>
    </row>
    <row r="11" spans="1:16" s="3" customFormat="1" ht="20.100000000000001" customHeight="1">
      <c r="B11" s="41">
        <v>221.45</v>
      </c>
      <c r="C11" s="42" t="s">
        <v>280</v>
      </c>
      <c r="D11" s="3" t="s">
        <v>562</v>
      </c>
      <c r="E11" s="150"/>
      <c r="F11" s="45">
        <v>750</v>
      </c>
      <c r="G11" s="76"/>
      <c r="H11" s="47"/>
      <c r="I11" s="48"/>
      <c r="J11" s="50">
        <f>F11*B11</f>
        <v>166087.5</v>
      </c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/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/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5"/>
      <c r="C24" s="167" t="s">
        <v>14</v>
      </c>
      <c r="D24" s="169" t="s">
        <v>609</v>
      </c>
      <c r="E24" s="170"/>
      <c r="F24" s="173" t="s">
        <v>15</v>
      </c>
      <c r="G24" s="174"/>
      <c r="H24" s="62"/>
      <c r="I24" s="62"/>
      <c r="J24" s="158">
        <f>SUM(J10:J23)</f>
        <v>219497.5</v>
      </c>
      <c r="M24" s="63"/>
      <c r="O24" s="4"/>
    </row>
    <row r="25" spans="2:15" s="3" customFormat="1" ht="19.5" customHeight="1">
      <c r="B25" s="166"/>
      <c r="C25" s="168"/>
      <c r="D25" s="171"/>
      <c r="E25" s="172"/>
      <c r="F25" s="175"/>
      <c r="G25" s="176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131" t="s">
        <v>528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67" t="s">
        <v>556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0"/>
      <c r="C40" s="160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3E9A75-5DE0-41E3-A50D-DA54004108CB}">
  <sheetPr>
    <tabColor rgb="FF00B0F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608</v>
      </c>
      <c r="D3" s="187"/>
      <c r="E3" s="187"/>
      <c r="F3" s="10" t="s">
        <v>3</v>
      </c>
      <c r="G3" s="10"/>
      <c r="H3" s="10"/>
      <c r="I3" s="10"/>
      <c r="J3" s="75">
        <v>191</v>
      </c>
      <c r="L3" s="4"/>
      <c r="O3" s="4"/>
    </row>
    <row r="4" spans="1:16" s="3" customFormat="1" ht="30" customHeight="1">
      <c r="B4" s="11" t="s">
        <v>5</v>
      </c>
      <c r="C4" s="12" t="s">
        <v>601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358</v>
      </c>
      <c r="C11" s="42" t="s">
        <v>606</v>
      </c>
      <c r="D11" s="98" t="s">
        <v>607</v>
      </c>
      <c r="E11" s="44"/>
      <c r="F11" s="45">
        <v>5425</v>
      </c>
      <c r="G11" s="46"/>
      <c r="H11" s="47"/>
      <c r="I11" s="48"/>
      <c r="J11" s="50">
        <f>F11*B11</f>
        <v>1942150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/>
      <c r="C12" s="42"/>
      <c r="D12" s="98"/>
      <c r="E12" s="44"/>
      <c r="F12" s="45">
        <f>F11/25</f>
        <v>217</v>
      </c>
      <c r="G12" s="76"/>
      <c r="H12" s="47"/>
      <c r="I12" s="48"/>
      <c r="J12" s="50"/>
      <c r="K12" s="3" t="s">
        <v>595</v>
      </c>
      <c r="L12" s="93">
        <v>1189</v>
      </c>
      <c r="M12" s="148">
        <v>0.3</v>
      </c>
      <c r="N12" s="149">
        <f t="shared" ref="N12:N17" si="0">L12*M12</f>
        <v>356.7</v>
      </c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K13" s="3" t="s">
        <v>596</v>
      </c>
      <c r="L13" s="144">
        <v>1730</v>
      </c>
      <c r="M13" s="148">
        <v>0.3</v>
      </c>
      <c r="N13" s="149">
        <f t="shared" si="0"/>
        <v>519</v>
      </c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K14" s="3" t="s">
        <v>597</v>
      </c>
      <c r="L14" s="4">
        <v>3025</v>
      </c>
      <c r="M14" s="148">
        <v>0.3</v>
      </c>
      <c r="N14" s="149">
        <f t="shared" si="0"/>
        <v>907.5</v>
      </c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K15" s="3" t="s">
        <v>598</v>
      </c>
      <c r="L15" s="4">
        <v>250</v>
      </c>
      <c r="M15" s="148">
        <v>0.3</v>
      </c>
      <c r="N15" s="149">
        <f t="shared" si="0"/>
        <v>75</v>
      </c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K16" s="3" t="s">
        <v>599</v>
      </c>
      <c r="L16" s="93">
        <v>900</v>
      </c>
      <c r="M16" s="148">
        <v>0.3</v>
      </c>
      <c r="N16" s="149">
        <f t="shared" si="0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0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605</v>
      </c>
      <c r="E26" s="170"/>
      <c r="F26" s="173" t="s">
        <v>15</v>
      </c>
      <c r="G26" s="174"/>
      <c r="H26" s="62"/>
      <c r="I26" s="62"/>
      <c r="J26" s="158">
        <f>SUM(J11:J25)</f>
        <v>1942150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5080ED-1589-49A9-9638-CAA174C0A361}">
  <sheetPr>
    <tabColor rgb="FF00B0F0"/>
  </sheetPr>
  <dimension ref="A1:P45"/>
  <sheetViews>
    <sheetView view="pageBreakPreview" zoomScale="90" zoomScaleNormal="100" zoomScaleSheetLayoutView="90" workbookViewId="0">
      <selection activeCell="C15" sqref="C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608</v>
      </c>
      <c r="D3" s="187"/>
      <c r="E3" s="187"/>
      <c r="F3" s="10" t="s">
        <v>3</v>
      </c>
      <c r="G3" s="10"/>
      <c r="H3" s="10"/>
      <c r="I3" s="10"/>
      <c r="J3" s="75">
        <v>190</v>
      </c>
      <c r="L3" s="4"/>
      <c r="O3" s="4"/>
    </row>
    <row r="4" spans="1:16" s="3" customFormat="1" ht="30" customHeight="1">
      <c r="B4" s="11" t="s">
        <v>5</v>
      </c>
      <c r="C4" s="12" t="s">
        <v>590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>
        <f>358+62</f>
        <v>420</v>
      </c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62</v>
      </c>
      <c r="C11" s="42" t="s">
        <v>606</v>
      </c>
      <c r="D11" s="98" t="s">
        <v>607</v>
      </c>
      <c r="E11" s="44"/>
      <c r="F11" s="45">
        <v>5425</v>
      </c>
      <c r="G11" s="46"/>
      <c r="H11" s="47"/>
      <c r="I11" s="48"/>
      <c r="J11" s="50">
        <f>F11*B11</f>
        <v>336350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K12" s="3" t="s">
        <v>595</v>
      </c>
      <c r="L12" s="93">
        <v>1189</v>
      </c>
      <c r="M12" s="148">
        <v>0.3</v>
      </c>
      <c r="N12" s="149">
        <f t="shared" ref="N12:N17" si="0">L12*M12</f>
        <v>356.7</v>
      </c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K13" s="3" t="s">
        <v>596</v>
      </c>
      <c r="L13" s="144">
        <v>1730</v>
      </c>
      <c r="M13" s="148">
        <v>0.3</v>
      </c>
      <c r="N13" s="149">
        <f t="shared" si="0"/>
        <v>519</v>
      </c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K14" s="3" t="s">
        <v>597</v>
      </c>
      <c r="L14" s="4">
        <v>3025</v>
      </c>
      <c r="M14" s="148">
        <v>0.3</v>
      </c>
      <c r="N14" s="149">
        <f t="shared" si="0"/>
        <v>907.5</v>
      </c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K15" s="3" t="s">
        <v>598</v>
      </c>
      <c r="L15" s="4">
        <v>250</v>
      </c>
      <c r="M15" s="148">
        <v>0.3</v>
      </c>
      <c r="N15" s="149">
        <f t="shared" si="0"/>
        <v>75</v>
      </c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K16" s="3" t="s">
        <v>599</v>
      </c>
      <c r="L16" s="93">
        <v>900</v>
      </c>
      <c r="M16" s="148">
        <v>0.3</v>
      </c>
      <c r="N16" s="149">
        <f t="shared" si="0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0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>
        <f>62+358</f>
        <v>420</v>
      </c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>
        <f>F18/28</f>
        <v>15</v>
      </c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336350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0C22BB-29D8-4A8D-AF35-319E8B3B26D2}">
  <sheetPr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189</v>
      </c>
      <c r="L3" s="4"/>
      <c r="O3" s="4"/>
    </row>
    <row r="4" spans="1:16" s="3" customFormat="1" ht="30" customHeight="1">
      <c r="B4" s="11" t="s">
        <v>5</v>
      </c>
      <c r="C4" s="12" t="s">
        <v>601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75</v>
      </c>
      <c r="C11" s="42" t="s">
        <v>137</v>
      </c>
      <c r="D11" s="98" t="s">
        <v>602</v>
      </c>
      <c r="E11" s="44"/>
      <c r="F11" s="45">
        <v>742</v>
      </c>
      <c r="G11" s="46"/>
      <c r="H11" s="47"/>
      <c r="I11" s="48"/>
      <c r="J11" s="50">
        <f t="shared" ref="J11:J16" si="0">F11*B11</f>
        <v>55650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>
        <v>270</v>
      </c>
      <c r="C12" s="42" t="s">
        <v>137</v>
      </c>
      <c r="D12" s="98" t="s">
        <v>603</v>
      </c>
      <c r="E12" s="44"/>
      <c r="F12" s="45">
        <v>185</v>
      </c>
      <c r="G12" s="76"/>
      <c r="H12" s="47"/>
      <c r="I12" s="48"/>
      <c r="J12" s="50">
        <f t="shared" si="0"/>
        <v>49950</v>
      </c>
      <c r="K12" s="3" t="s">
        <v>595</v>
      </c>
      <c r="L12" s="93">
        <v>1189</v>
      </c>
      <c r="M12" s="148">
        <v>0.3</v>
      </c>
      <c r="N12" s="149">
        <f t="shared" ref="N12:N17" si="1">L12*M12</f>
        <v>356.7</v>
      </c>
      <c r="P12" s="4"/>
    </row>
    <row r="13" spans="1:16" s="3" customFormat="1" ht="20.100000000000001" customHeight="1">
      <c r="B13" s="41">
        <v>333</v>
      </c>
      <c r="C13" s="42" t="s">
        <v>265</v>
      </c>
      <c r="D13" s="43" t="s">
        <v>266</v>
      </c>
      <c r="E13" s="44"/>
      <c r="F13" s="45">
        <v>65</v>
      </c>
      <c r="G13" s="89"/>
      <c r="H13" s="47"/>
      <c r="I13" s="48"/>
      <c r="J13" s="50">
        <f t="shared" si="0"/>
        <v>21645</v>
      </c>
      <c r="K13" s="3" t="s">
        <v>596</v>
      </c>
      <c r="L13" s="144">
        <v>1730</v>
      </c>
      <c r="M13" s="148">
        <v>0.3</v>
      </c>
      <c r="N13" s="149">
        <f t="shared" si="1"/>
        <v>519</v>
      </c>
      <c r="O13" s="90"/>
      <c r="P13" s="49"/>
    </row>
    <row r="14" spans="1:16" s="3" customFormat="1" ht="20.100000000000001" customHeight="1">
      <c r="B14" s="41">
        <v>22</v>
      </c>
      <c r="C14" s="42" t="s">
        <v>265</v>
      </c>
      <c r="D14" s="43" t="s">
        <v>301</v>
      </c>
      <c r="E14" s="44"/>
      <c r="F14" s="45">
        <v>85</v>
      </c>
      <c r="G14" s="76"/>
      <c r="H14" s="47"/>
      <c r="I14" s="48"/>
      <c r="J14" s="50">
        <f t="shared" si="0"/>
        <v>1870</v>
      </c>
      <c r="K14" s="3" t="s">
        <v>597</v>
      </c>
      <c r="L14" s="4">
        <v>3025</v>
      </c>
      <c r="M14" s="148">
        <v>0.3</v>
      </c>
      <c r="N14" s="149">
        <f t="shared" si="1"/>
        <v>907.5</v>
      </c>
      <c r="O14" s="4"/>
      <c r="P14" s="49"/>
    </row>
    <row r="15" spans="1:16" s="3" customFormat="1" ht="20.100000000000001" customHeight="1">
      <c r="B15" s="41">
        <v>22</v>
      </c>
      <c r="C15" s="42" t="s">
        <v>265</v>
      </c>
      <c r="D15" s="43" t="s">
        <v>300</v>
      </c>
      <c r="E15" s="44"/>
      <c r="F15" s="45">
        <v>73</v>
      </c>
      <c r="G15" s="89"/>
      <c r="H15" s="47"/>
      <c r="I15" s="48"/>
      <c r="J15" s="50">
        <f t="shared" si="0"/>
        <v>1606</v>
      </c>
      <c r="K15" s="3" t="s">
        <v>598</v>
      </c>
      <c r="L15" s="4">
        <v>250</v>
      </c>
      <c r="M15" s="148">
        <v>0.3</v>
      </c>
      <c r="N15" s="149">
        <f t="shared" si="1"/>
        <v>75</v>
      </c>
      <c r="O15" s="4"/>
    </row>
    <row r="16" spans="1:16" s="3" customFormat="1" ht="20.100000000000001" customHeight="1">
      <c r="B16" s="41">
        <v>11</v>
      </c>
      <c r="C16" s="42" t="s">
        <v>265</v>
      </c>
      <c r="D16" s="43" t="s">
        <v>299</v>
      </c>
      <c r="E16" s="44"/>
      <c r="F16" s="45">
        <v>75</v>
      </c>
      <c r="G16" s="46"/>
      <c r="H16" s="47"/>
      <c r="I16" s="48"/>
      <c r="J16" s="50">
        <f t="shared" si="0"/>
        <v>825</v>
      </c>
      <c r="K16" s="3" t="s">
        <v>599</v>
      </c>
      <c r="L16" s="93">
        <v>900</v>
      </c>
      <c r="M16" s="148">
        <v>0.3</v>
      </c>
      <c r="N16" s="149">
        <f t="shared" si="1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1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605</v>
      </c>
      <c r="E26" s="170"/>
      <c r="F26" s="173" t="s">
        <v>15</v>
      </c>
      <c r="G26" s="174"/>
      <c r="H26" s="62"/>
      <c r="I26" s="62"/>
      <c r="J26" s="158">
        <f>SUM(J11:J25)</f>
        <v>131546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3DA4B6-D5EB-42CB-868B-3FDC2AEE80FC}">
  <sheetPr>
    <tabColor rgb="FF00B0F0"/>
  </sheetPr>
  <dimension ref="A1:P45"/>
  <sheetViews>
    <sheetView view="pageBreakPreview" zoomScale="70" zoomScaleNormal="100" zoomScaleSheetLayoutView="70" workbookViewId="0">
      <selection activeCell="D31" sqref="D3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713</v>
      </c>
      <c r="D3" s="187"/>
      <c r="E3" s="187"/>
      <c r="F3" s="10" t="s">
        <v>3</v>
      </c>
      <c r="G3" s="10"/>
      <c r="H3" s="10"/>
      <c r="I3" s="10"/>
      <c r="J3" s="75">
        <v>215</v>
      </c>
      <c r="O3" s="4"/>
    </row>
    <row r="4" spans="1:16" s="3" customFormat="1" ht="30" customHeight="1">
      <c r="B4" s="11" t="s">
        <v>5</v>
      </c>
      <c r="C4" s="12" t="s">
        <v>710</v>
      </c>
      <c r="D4" s="13"/>
      <c r="E4" s="13"/>
      <c r="F4" s="14" t="s">
        <v>6</v>
      </c>
      <c r="G4" s="15"/>
      <c r="H4" s="15"/>
      <c r="I4" s="15"/>
      <c r="J4" s="16">
        <v>45478</v>
      </c>
      <c r="L4" s="17"/>
      <c r="P4" s="4"/>
    </row>
    <row r="5" spans="1:16" s="3" customFormat="1" ht="30" customHeight="1">
      <c r="B5" s="11" t="s">
        <v>7</v>
      </c>
      <c r="C5" s="183" t="s">
        <v>711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10</v>
      </c>
      <c r="C11" s="42" t="s">
        <v>137</v>
      </c>
      <c r="D11" s="98" t="s">
        <v>712</v>
      </c>
      <c r="E11" s="44"/>
      <c r="F11" s="45">
        <v>180</v>
      </c>
      <c r="G11" s="46"/>
      <c r="H11" s="47"/>
      <c r="I11" s="48"/>
      <c r="J11" s="50">
        <f>F11*B11</f>
        <v>1800</v>
      </c>
      <c r="L11" s="45"/>
      <c r="M11" s="45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46"/>
      <c r="H12" s="47"/>
      <c r="I12" s="48"/>
      <c r="J12" s="50"/>
      <c r="L12" s="45"/>
      <c r="M12" s="45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110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43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1800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6" t="s">
        <v>681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3AE9B7-4FFF-449A-BA2C-B84D02332AD8}">
  <sheetPr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7.140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566</v>
      </c>
      <c r="D3" s="191"/>
      <c r="E3" s="191"/>
      <c r="F3" s="10" t="s">
        <v>3</v>
      </c>
      <c r="G3" s="10"/>
      <c r="H3" s="10"/>
      <c r="I3" s="10"/>
      <c r="J3" s="75">
        <v>188</v>
      </c>
      <c r="L3" s="4"/>
      <c r="O3" s="4"/>
    </row>
    <row r="4" spans="1:16" s="3" customFormat="1" ht="30" customHeight="1">
      <c r="B4" s="11" t="s">
        <v>5</v>
      </c>
      <c r="C4" s="12" t="s">
        <v>601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>
        <f>490-140-115</f>
        <v>235</v>
      </c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519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207600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>
        <v>908</v>
      </c>
      <c r="C12" s="42" t="s">
        <v>280</v>
      </c>
      <c r="D12" s="147" t="s">
        <v>593</v>
      </c>
      <c r="E12" s="44"/>
      <c r="F12" s="45">
        <v>600</v>
      </c>
      <c r="G12" s="76"/>
      <c r="H12" s="47"/>
      <c r="I12" s="48"/>
      <c r="J12" s="50">
        <f>F12*B12</f>
        <v>544800</v>
      </c>
      <c r="K12" s="3" t="s">
        <v>595</v>
      </c>
      <c r="L12" s="93">
        <v>1189</v>
      </c>
      <c r="M12" s="148">
        <v>0.3</v>
      </c>
      <c r="N12" s="149">
        <f t="shared" ref="N12:N17" si="0">L12*M12</f>
        <v>356.7</v>
      </c>
      <c r="P12" s="4">
        <f>80+55</f>
        <v>135</v>
      </c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K13" s="3" t="s">
        <v>596</v>
      </c>
      <c r="L13" s="144">
        <v>1730</v>
      </c>
      <c r="M13" s="148">
        <v>0.3</v>
      </c>
      <c r="N13" s="149">
        <f t="shared" si="0"/>
        <v>519</v>
      </c>
      <c r="O13" s="90"/>
      <c r="P13" s="49">
        <f>490-P12</f>
        <v>355</v>
      </c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K14" s="3" t="s">
        <v>597</v>
      </c>
      <c r="L14" s="4">
        <v>3025</v>
      </c>
      <c r="M14" s="148">
        <v>0.3</v>
      </c>
      <c r="N14" s="149">
        <f t="shared" si="0"/>
        <v>907.5</v>
      </c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K15" s="3" t="s">
        <v>598</v>
      </c>
      <c r="L15" s="4">
        <v>250</v>
      </c>
      <c r="M15" s="148">
        <v>0.3</v>
      </c>
      <c r="N15" s="149">
        <f t="shared" si="0"/>
        <v>75</v>
      </c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K16" s="3" t="s">
        <v>599</v>
      </c>
      <c r="L16" s="93">
        <v>900</v>
      </c>
      <c r="M16" s="148">
        <v>0.3</v>
      </c>
      <c r="N16" s="149">
        <f t="shared" si="0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0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604</v>
      </c>
      <c r="E26" s="170"/>
      <c r="F26" s="173" t="s">
        <v>15</v>
      </c>
      <c r="G26" s="174"/>
      <c r="H26" s="62"/>
      <c r="I26" s="62"/>
      <c r="J26" s="158">
        <f>SUM(J11:J25)</f>
        <v>752400</v>
      </c>
      <c r="K26" s="158"/>
      <c r="L26" s="189">
        <f>SUM(L11:L25)</f>
        <v>41419.51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3A6D86-3F0C-4820-A4F2-157810B7651A}">
  <sheetPr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566</v>
      </c>
      <c r="D3" s="191"/>
      <c r="E3" s="191"/>
      <c r="F3" s="10" t="s">
        <v>3</v>
      </c>
      <c r="G3" s="10"/>
      <c r="H3" s="10"/>
      <c r="I3" s="10"/>
      <c r="J3" s="75">
        <v>187</v>
      </c>
      <c r="L3" s="4"/>
      <c r="O3" s="4"/>
    </row>
    <row r="4" spans="1:16" s="3" customFormat="1" ht="30" customHeight="1">
      <c r="B4" s="11" t="s">
        <v>5</v>
      </c>
      <c r="C4" s="12" t="s">
        <v>590</v>
      </c>
      <c r="D4" s="13"/>
      <c r="E4" s="13"/>
      <c r="F4" s="14" t="s">
        <v>6</v>
      </c>
      <c r="G4" s="15"/>
      <c r="H4" s="15"/>
      <c r="I4" s="15"/>
      <c r="J4" s="16">
        <v>45441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>
        <f>490-140-115</f>
        <v>235</v>
      </c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84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33600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>
        <v>147</v>
      </c>
      <c r="C12" s="42" t="s">
        <v>280</v>
      </c>
      <c r="D12" s="147" t="s">
        <v>593</v>
      </c>
      <c r="E12" s="44"/>
      <c r="F12" s="45">
        <v>600</v>
      </c>
      <c r="G12" s="76"/>
      <c r="H12" s="47"/>
      <c r="I12" s="48"/>
      <c r="J12" s="50">
        <f>F12*B12</f>
        <v>88200</v>
      </c>
      <c r="L12" s="93"/>
      <c r="M12" s="5"/>
      <c r="N12" s="5"/>
      <c r="P12" s="4">
        <f>80+55</f>
        <v>135</v>
      </c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>
        <f>490-P12</f>
        <v>355</v>
      </c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48">
        <v>0.3</v>
      </c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121800</v>
      </c>
      <c r="K26" s="158"/>
      <c r="L26" s="189">
        <f>SUM(L11:L25)</f>
        <v>36392.51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A8AA3E-933D-4E34-8BB8-47BC9D98AB80}">
  <sheetPr>
    <tabColor rgb="FF00B0F0"/>
  </sheetPr>
  <dimension ref="A1:P45"/>
  <sheetViews>
    <sheetView view="pageBreakPreview" zoomScale="90" zoomScaleNormal="100" zoomScaleSheetLayoutView="90" workbookViewId="0">
      <selection activeCell="E12" sqref="E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186</v>
      </c>
      <c r="L3" s="4"/>
      <c r="O3" s="4"/>
    </row>
    <row r="4" spans="1:16" s="3" customFormat="1" ht="30" customHeight="1">
      <c r="B4" s="11" t="s">
        <v>5</v>
      </c>
      <c r="C4" s="12" t="s">
        <v>590</v>
      </c>
      <c r="D4" s="13"/>
      <c r="E4" s="13"/>
      <c r="F4" s="14" t="s">
        <v>6</v>
      </c>
      <c r="G4" s="15"/>
      <c r="H4" s="15"/>
      <c r="I4" s="15"/>
      <c r="J4" s="16">
        <v>45440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50</v>
      </c>
      <c r="C11" s="42" t="s">
        <v>137</v>
      </c>
      <c r="D11" s="98" t="s">
        <v>588</v>
      </c>
      <c r="E11" s="44"/>
      <c r="F11" s="45">
        <v>1007</v>
      </c>
      <c r="G11" s="46"/>
      <c r="H11" s="47"/>
      <c r="I11" s="48"/>
      <c r="J11" s="50">
        <f>F11*B11</f>
        <v>50350</v>
      </c>
      <c r="L11" s="4"/>
      <c r="M11" s="1"/>
      <c r="N11" s="1"/>
      <c r="O11" s="4"/>
    </row>
    <row r="12" spans="1:16" s="3" customFormat="1" ht="20.100000000000001" customHeight="1">
      <c r="B12" s="41">
        <v>320</v>
      </c>
      <c r="C12" s="42" t="s">
        <v>137</v>
      </c>
      <c r="D12" s="98" t="s">
        <v>589</v>
      </c>
      <c r="E12" s="44"/>
      <c r="F12" s="45">
        <v>150</v>
      </c>
      <c r="G12" s="76"/>
      <c r="H12" s="47"/>
      <c r="I12" s="48"/>
      <c r="J12" s="50">
        <f>F12*B12</f>
        <v>48000</v>
      </c>
      <c r="L12" s="93"/>
      <c r="M12" s="5"/>
      <c r="N12" s="5"/>
      <c r="P12" s="4"/>
    </row>
    <row r="13" spans="1:16" s="3" customFormat="1" ht="20.100000000000001" customHeight="1">
      <c r="B13" s="41">
        <v>80</v>
      </c>
      <c r="C13" s="42" t="s">
        <v>265</v>
      </c>
      <c r="D13" s="43" t="s">
        <v>301</v>
      </c>
      <c r="E13" s="44"/>
      <c r="F13" s="45">
        <v>85</v>
      </c>
      <c r="G13" s="89"/>
      <c r="H13" s="47"/>
      <c r="I13" s="48"/>
      <c r="J13" s="50">
        <f>F13*B13</f>
        <v>6800</v>
      </c>
      <c r="L13" s="93"/>
      <c r="M13" s="5"/>
      <c r="O13" s="90"/>
      <c r="P13" s="49"/>
    </row>
    <row r="14" spans="1:16" s="3" customFormat="1" ht="20.100000000000001" customHeight="1">
      <c r="B14" s="41">
        <v>25</v>
      </c>
      <c r="C14" s="42" t="s">
        <v>265</v>
      </c>
      <c r="D14" s="43" t="s">
        <v>300</v>
      </c>
      <c r="E14" s="44"/>
      <c r="F14" s="45">
        <v>73</v>
      </c>
      <c r="G14" s="76"/>
      <c r="H14" s="47"/>
      <c r="I14" s="48"/>
      <c r="J14" s="50">
        <f>F14*B14</f>
        <v>1825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10</v>
      </c>
      <c r="C15" s="42" t="s">
        <v>265</v>
      </c>
      <c r="D15" s="43" t="s">
        <v>299</v>
      </c>
      <c r="E15" s="44"/>
      <c r="F15" s="45">
        <v>75</v>
      </c>
      <c r="G15" s="89"/>
      <c r="H15" s="47"/>
      <c r="I15" s="48"/>
      <c r="J15" s="50">
        <f>F15*B15</f>
        <v>750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107725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06E87D-74F2-4DE1-A6F2-B7AE370460CC}">
  <sheetPr>
    <tabColor rgb="FFC00000"/>
  </sheetPr>
  <dimension ref="A1:P45"/>
  <sheetViews>
    <sheetView view="pageBreakPreview" zoomScale="80" zoomScaleNormal="100" zoomScaleSheetLayoutView="80" workbookViewId="0">
      <selection activeCell="D15" sqref="D1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/>
      <c r="D3" s="188"/>
      <c r="E3" s="188"/>
      <c r="F3" s="10" t="s">
        <v>3</v>
      </c>
      <c r="G3" s="10"/>
      <c r="H3" s="10"/>
      <c r="I3" s="10"/>
      <c r="J3" s="75">
        <v>185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587</v>
      </c>
      <c r="D4" s="13"/>
      <c r="E4" s="13"/>
      <c r="F4" s="14" t="s">
        <v>6</v>
      </c>
      <c r="G4" s="15"/>
      <c r="H4" s="15"/>
      <c r="I4" s="15"/>
      <c r="J4" s="16">
        <v>45440</v>
      </c>
      <c r="L4" s="17"/>
      <c r="P4" s="4"/>
    </row>
    <row r="5" spans="1:16" s="3" customFormat="1" ht="30" customHeight="1">
      <c r="B5" s="11" t="s">
        <v>7</v>
      </c>
      <c r="C5" s="79" t="s">
        <v>114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800</v>
      </c>
      <c r="C11" s="42" t="s">
        <v>280</v>
      </c>
      <c r="D11" s="43" t="s">
        <v>115</v>
      </c>
      <c r="E11" s="44"/>
      <c r="F11" s="45">
        <v>50</v>
      </c>
      <c r="G11" s="76"/>
      <c r="H11" s="47"/>
      <c r="I11" s="48"/>
      <c r="J11" s="50">
        <f>F11*B11</f>
        <v>40000</v>
      </c>
      <c r="M11" s="5"/>
      <c r="N11" s="5"/>
      <c r="P11" s="4"/>
    </row>
    <row r="12" spans="1:16" s="3" customFormat="1" ht="20.100000000000001" customHeight="1">
      <c r="B12" s="41"/>
      <c r="C12" s="42"/>
      <c r="D12" s="77"/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46"/>
      <c r="H13" s="47"/>
      <c r="I13" s="48"/>
      <c r="J13" s="50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40000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3"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535FD-9703-409E-9C64-CF0B1FD404DD}">
  <sheetPr>
    <tabColor rgb="FF00B0F0"/>
  </sheetPr>
  <dimension ref="A1:P44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585</v>
      </c>
      <c r="D3" s="187"/>
      <c r="E3" s="187"/>
      <c r="F3" s="10" t="s">
        <v>3</v>
      </c>
      <c r="G3" s="10"/>
      <c r="H3" s="10"/>
      <c r="I3" s="10"/>
      <c r="J3" s="75">
        <v>184</v>
      </c>
      <c r="L3" s="4"/>
      <c r="O3" s="4"/>
    </row>
    <row r="4" spans="1:16" s="3" customFormat="1" ht="30" customHeight="1">
      <c r="B4" s="11" t="s">
        <v>5</v>
      </c>
      <c r="C4" s="12" t="s">
        <v>586</v>
      </c>
      <c r="D4" s="13"/>
      <c r="E4" s="13"/>
      <c r="F4" s="14" t="s">
        <v>6</v>
      </c>
      <c r="G4" s="15"/>
      <c r="H4" s="15"/>
      <c r="I4" s="15"/>
      <c r="J4" s="16">
        <v>45441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137</v>
      </c>
      <c r="D11" s="98" t="s">
        <v>592</v>
      </c>
      <c r="E11" s="44"/>
      <c r="F11" s="45">
        <v>23900</v>
      </c>
      <c r="G11" s="46"/>
      <c r="H11" s="47"/>
      <c r="I11" s="48"/>
      <c r="J11" s="50">
        <f>F11*B11</f>
        <v>23900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76"/>
      <c r="H16" s="47"/>
      <c r="I16" s="48"/>
      <c r="J16" s="50"/>
      <c r="L16" s="93"/>
      <c r="M16" s="5"/>
      <c r="N16" s="5"/>
      <c r="P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5"/>
      <c r="C25" s="167" t="s">
        <v>14</v>
      </c>
      <c r="D25" s="169"/>
      <c r="E25" s="170"/>
      <c r="F25" s="173" t="s">
        <v>15</v>
      </c>
      <c r="G25" s="174"/>
      <c r="H25" s="62"/>
      <c r="I25" s="62"/>
      <c r="J25" s="158">
        <f>SUM(J11:J24)</f>
        <v>23900</v>
      </c>
      <c r="K25" s="158"/>
      <c r="L25" s="189"/>
      <c r="M25" s="63"/>
      <c r="O25" s="4"/>
    </row>
    <row r="26" spans="2:16" s="3" customFormat="1" ht="19.5" customHeight="1">
      <c r="B26" s="166"/>
      <c r="C26" s="168"/>
      <c r="D26" s="171"/>
      <c r="E26" s="172"/>
      <c r="F26" s="175"/>
      <c r="G26" s="176"/>
      <c r="H26" s="62"/>
      <c r="I26" s="62"/>
      <c r="J26" s="159"/>
      <c r="K26" s="159"/>
      <c r="L26" s="190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26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43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/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0"/>
      <c r="C41" s="160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B1:F1"/>
    <mergeCell ref="G1:J1"/>
    <mergeCell ref="C3:E3"/>
    <mergeCell ref="C5:E5"/>
    <mergeCell ref="D9:E9"/>
    <mergeCell ref="F9:H9"/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793D8-720B-4182-AD82-3687E1916ECB}">
  <sheetPr>
    <tabColor rgb="FF00B0F0"/>
  </sheetPr>
  <dimension ref="A1:P44"/>
  <sheetViews>
    <sheetView view="pageBreakPreview" topLeftCell="A16" zoomScale="90" zoomScaleNormal="100" zoomScaleSheetLayoutView="90" workbookViewId="0">
      <selection activeCell="C32" sqref="C32:C3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183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45439</v>
      </c>
      <c r="L4" s="4"/>
      <c r="M4" s="3">
        <f>4825/25</f>
        <v>193</v>
      </c>
      <c r="P4" s="4"/>
    </row>
    <row r="5" spans="1:16" s="3" customFormat="1" ht="30" customHeight="1">
      <c r="B5" s="11" t="s">
        <v>7</v>
      </c>
      <c r="C5" s="183" t="s">
        <v>114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30</v>
      </c>
      <c r="C11" s="42" t="s">
        <v>137</v>
      </c>
      <c r="D11" s="98" t="s">
        <v>295</v>
      </c>
      <c r="E11" s="44"/>
      <c r="F11" s="45">
        <v>150</v>
      </c>
      <c r="G11" s="46"/>
      <c r="H11" s="47"/>
      <c r="I11" s="48"/>
      <c r="J11" s="50">
        <f>F11*B11</f>
        <v>4500</v>
      </c>
      <c r="L11" s="4"/>
      <c r="M11" s="1"/>
      <c r="N11" s="1"/>
      <c r="O11" s="4"/>
    </row>
    <row r="12" spans="1:16" s="3" customFormat="1" ht="20.100000000000001" customHeight="1">
      <c r="B12" s="41">
        <v>100</v>
      </c>
      <c r="C12" s="42" t="s">
        <v>137</v>
      </c>
      <c r="D12" s="98" t="s">
        <v>281</v>
      </c>
      <c r="E12" s="44"/>
      <c r="F12" s="45">
        <v>245</v>
      </c>
      <c r="G12" s="76"/>
      <c r="H12" s="47"/>
      <c r="I12" s="48"/>
      <c r="J12" s="50">
        <f>F12*B12</f>
        <v>24500</v>
      </c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76"/>
      <c r="H16" s="47"/>
      <c r="I16" s="48"/>
      <c r="J16" s="50"/>
      <c r="L16" s="93"/>
      <c r="M16" s="5"/>
      <c r="N16" s="5"/>
      <c r="P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5"/>
      <c r="C25" s="167" t="s">
        <v>14</v>
      </c>
      <c r="D25" s="169" t="s">
        <v>347</v>
      </c>
      <c r="E25" s="170"/>
      <c r="F25" s="173" t="s">
        <v>15</v>
      </c>
      <c r="G25" s="174"/>
      <c r="H25" s="62"/>
      <c r="I25" s="62"/>
      <c r="J25" s="158">
        <f>SUM(J11:J24)</f>
        <v>29000</v>
      </c>
      <c r="K25" s="158"/>
      <c r="L25" s="189"/>
      <c r="M25" s="63"/>
      <c r="O25" s="4"/>
    </row>
    <row r="26" spans="2:16" s="3" customFormat="1" ht="19.5" customHeight="1">
      <c r="B26" s="166"/>
      <c r="C26" s="168"/>
      <c r="D26" s="171"/>
      <c r="E26" s="172"/>
      <c r="F26" s="175"/>
      <c r="G26" s="176"/>
      <c r="H26" s="62"/>
      <c r="I26" s="62"/>
      <c r="J26" s="159"/>
      <c r="K26" s="159"/>
      <c r="L26" s="190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131" t="s">
        <v>528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556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0"/>
      <c r="C41" s="160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E4D944-C8B5-4CFA-A1BF-12CC5BBB1EAC}">
  <sheetPr>
    <tabColor rgb="FFC00000"/>
  </sheetPr>
  <dimension ref="A1:P45"/>
  <sheetViews>
    <sheetView view="pageBreakPreview" topLeftCell="A2" zoomScaleNormal="100" zoomScaleSheetLayoutView="100" workbookViewId="0">
      <selection activeCell="D20" sqref="D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72</v>
      </c>
      <c r="D3" s="195"/>
      <c r="E3" s="195"/>
      <c r="F3" s="10" t="s">
        <v>3</v>
      </c>
      <c r="G3" s="10"/>
      <c r="H3" s="10"/>
      <c r="I3" s="10"/>
      <c r="J3" s="75">
        <v>182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581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183" t="s">
        <v>136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582</v>
      </c>
      <c r="E11" s="197"/>
      <c r="F11" s="45">
        <f>2718.83-500</f>
        <v>2218.83</v>
      </c>
      <c r="G11" s="76"/>
      <c r="H11" s="47"/>
      <c r="I11" s="48"/>
      <c r="J11" s="50">
        <f>F11</f>
        <v>2218.83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6" t="s">
        <v>583</v>
      </c>
      <c r="E12" s="197"/>
      <c r="F12" s="45">
        <f>2842.53-500</f>
        <v>2342.5300000000002</v>
      </c>
      <c r="G12" s="76"/>
      <c r="H12" s="47"/>
      <c r="I12" s="48"/>
      <c r="J12" s="50">
        <f>F12</f>
        <v>2342.5300000000002</v>
      </c>
      <c r="M12" s="1"/>
      <c r="N12" s="1"/>
      <c r="O12" s="4"/>
    </row>
    <row r="13" spans="1:16" s="3" customFormat="1" ht="20.100000000000001" customHeight="1">
      <c r="B13" s="41"/>
      <c r="C13" s="42"/>
      <c r="D13" s="43" t="s">
        <v>127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128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129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130</v>
      </c>
      <c r="E26" s="170"/>
      <c r="F26" s="173" t="s">
        <v>15</v>
      </c>
      <c r="G26" s="174"/>
      <c r="H26" s="62"/>
      <c r="I26" s="62"/>
      <c r="J26" s="158">
        <f>SUM(J11:J25)</f>
        <v>4561.3600000000006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1">
    <mergeCell ref="J26:J27"/>
    <mergeCell ref="B42:C42"/>
    <mergeCell ref="D12:E12"/>
    <mergeCell ref="D23:E23"/>
    <mergeCell ref="D24:E24"/>
    <mergeCell ref="B26:B27"/>
    <mergeCell ref="C26:C27"/>
    <mergeCell ref="D26:E27"/>
    <mergeCell ref="F26:G27"/>
    <mergeCell ref="D22:E22"/>
    <mergeCell ref="D10:E10"/>
    <mergeCell ref="F10:G10"/>
    <mergeCell ref="D11:E11"/>
    <mergeCell ref="D17:E17"/>
    <mergeCell ref="D18:E18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074F4F-13A4-4DEB-9004-CC74520BEF97}">
  <sheetPr>
    <tabColor rgb="FF0070C0"/>
  </sheetPr>
  <dimension ref="A1:P50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7" t="s">
        <v>348</v>
      </c>
      <c r="D3" s="187"/>
      <c r="E3" s="187"/>
      <c r="F3" s="10" t="s">
        <v>3</v>
      </c>
      <c r="G3" s="10"/>
      <c r="H3" s="10"/>
      <c r="I3" s="10"/>
      <c r="J3" s="75">
        <v>181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45434</v>
      </c>
      <c r="L4" s="103"/>
      <c r="P4" s="4"/>
    </row>
    <row r="5" spans="1:16" s="3" customFormat="1" ht="30" customHeight="1">
      <c r="B5" s="11" t="s">
        <v>7</v>
      </c>
      <c r="C5" s="183" t="s">
        <v>114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443.18</v>
      </c>
      <c r="C10" s="42" t="s">
        <v>280</v>
      </c>
      <c r="D10" s="3" t="s">
        <v>563</v>
      </c>
      <c r="E10" s="44"/>
      <c r="F10" s="45">
        <v>500</v>
      </c>
      <c r="G10" s="76"/>
      <c r="H10" s="47"/>
      <c r="I10" s="48"/>
      <c r="J10" s="50">
        <f>F10*B10</f>
        <v>221590</v>
      </c>
      <c r="M10" s="5"/>
      <c r="O10" s="4"/>
    </row>
    <row r="11" spans="1:16" s="3" customFormat="1" ht="20.100000000000001" customHeight="1">
      <c r="B11" s="41">
        <v>154.54560000000001</v>
      </c>
      <c r="C11" s="42" t="s">
        <v>280</v>
      </c>
      <c r="D11" s="3" t="s">
        <v>562</v>
      </c>
      <c r="E11" s="44"/>
      <c r="F11" s="45">
        <v>750</v>
      </c>
      <c r="G11" s="76"/>
      <c r="H11" s="47"/>
      <c r="I11" s="48"/>
      <c r="J11" s="50">
        <f>F11*B11</f>
        <v>115909.20000000001</v>
      </c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/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/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5"/>
      <c r="C24" s="167" t="s">
        <v>14</v>
      </c>
      <c r="D24" s="169" t="s">
        <v>564</v>
      </c>
      <c r="E24" s="170"/>
      <c r="F24" s="173" t="s">
        <v>15</v>
      </c>
      <c r="G24" s="174"/>
      <c r="H24" s="62"/>
      <c r="I24" s="62"/>
      <c r="J24" s="158">
        <f>SUM(J10:J23)</f>
        <v>337499.2</v>
      </c>
      <c r="M24" s="63"/>
      <c r="O24" s="4"/>
    </row>
    <row r="25" spans="2:15" s="3" customFormat="1" ht="19.5" customHeight="1">
      <c r="B25" s="166"/>
      <c r="C25" s="168"/>
      <c r="D25" s="171"/>
      <c r="E25" s="172"/>
      <c r="F25" s="175"/>
      <c r="G25" s="176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131" t="s">
        <v>528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67" t="s">
        <v>556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0"/>
      <c r="C40" s="160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FBE754-2D9A-463A-BA5A-0F9CC96C0A5C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180</v>
      </c>
      <c r="L3" s="4"/>
      <c r="O3" s="4"/>
    </row>
    <row r="4" spans="1:16" s="3" customFormat="1" ht="30" customHeight="1">
      <c r="B4" s="11" t="s">
        <v>5</v>
      </c>
      <c r="C4" s="12" t="s">
        <v>561</v>
      </c>
      <c r="D4" s="13"/>
      <c r="E4" s="13"/>
      <c r="F4" s="14" t="s">
        <v>6</v>
      </c>
      <c r="G4" s="15"/>
      <c r="H4" s="15"/>
      <c r="I4" s="15"/>
      <c r="J4" s="16">
        <v>45429</v>
      </c>
      <c r="L4" s="4"/>
      <c r="P4" s="4"/>
    </row>
    <row r="5" spans="1:16" s="3" customFormat="1" ht="30" customHeight="1">
      <c r="B5" s="11" t="s">
        <v>7</v>
      </c>
      <c r="C5" s="183" t="s">
        <v>279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1150</v>
      </c>
      <c r="C11" s="42" t="s">
        <v>152</v>
      </c>
      <c r="D11" s="98" t="s">
        <v>110</v>
      </c>
      <c r="E11" s="44"/>
      <c r="F11" s="45">
        <v>203</v>
      </c>
      <c r="G11" s="46"/>
      <c r="H11" s="47"/>
      <c r="I11" s="48"/>
      <c r="J11" s="50">
        <f>F11*B11</f>
        <v>233450</v>
      </c>
      <c r="L11" s="4"/>
      <c r="M11" s="1"/>
      <c r="N11" s="1"/>
      <c r="O11" s="4"/>
    </row>
    <row r="12" spans="1:16" s="3" customFormat="1" ht="20.100000000000001" customHeight="1">
      <c r="B12" s="41">
        <v>30</v>
      </c>
      <c r="C12" s="42" t="s">
        <v>137</v>
      </c>
      <c r="D12" s="98" t="s">
        <v>288</v>
      </c>
      <c r="E12" s="44"/>
      <c r="F12" s="45">
        <v>180</v>
      </c>
      <c r="G12" s="76"/>
      <c r="H12" s="47"/>
      <c r="I12" s="48"/>
      <c r="J12" s="50">
        <f>F12*B12</f>
        <v>5400</v>
      </c>
      <c r="L12" s="93"/>
      <c r="M12" s="5"/>
      <c r="N12" s="5"/>
      <c r="P12" s="4"/>
    </row>
    <row r="13" spans="1:16" s="3" customFormat="1" ht="20.100000000000001" customHeight="1">
      <c r="B13" s="41">
        <v>8</v>
      </c>
      <c r="C13" s="42" t="s">
        <v>265</v>
      </c>
      <c r="D13" s="43" t="s">
        <v>299</v>
      </c>
      <c r="E13" s="44"/>
      <c r="F13" s="45">
        <v>80</v>
      </c>
      <c r="G13" s="76"/>
      <c r="H13" s="47"/>
      <c r="I13" s="48"/>
      <c r="J13" s="50">
        <f>F13*B13</f>
        <v>640</v>
      </c>
      <c r="L13" s="4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239490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58048-24BF-4F15-96FF-0FF26BC5BFD7}">
  <sheetPr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566</v>
      </c>
      <c r="D3" s="191"/>
      <c r="E3" s="191"/>
      <c r="F3" s="10" t="s">
        <v>3</v>
      </c>
      <c r="G3" s="10"/>
      <c r="H3" s="10"/>
      <c r="I3" s="10"/>
      <c r="J3" s="75">
        <v>179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45434</v>
      </c>
      <c r="L4" s="4"/>
      <c r="P4" s="4"/>
    </row>
    <row r="5" spans="1:16" s="3" customFormat="1" ht="30" customHeight="1">
      <c r="B5" s="11" t="s">
        <v>7</v>
      </c>
      <c r="C5" s="183" t="s">
        <v>114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>
        <f>490-140-115</f>
        <v>235</v>
      </c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235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94000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/>
      <c r="C12" s="42"/>
      <c r="D12" s="145"/>
      <c r="E12" s="44"/>
      <c r="F12" s="45"/>
      <c r="G12" s="76"/>
      <c r="H12" s="47"/>
      <c r="I12" s="48"/>
      <c r="J12" s="50"/>
      <c r="L12" s="93"/>
      <c r="M12" s="5"/>
      <c r="N12" s="5"/>
      <c r="P12" s="4">
        <f>80+55</f>
        <v>135</v>
      </c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>
        <f>490-P12</f>
        <v>355</v>
      </c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94000</v>
      </c>
      <c r="K26" s="158"/>
      <c r="L26" s="189">
        <f>SUM(L11:L25)</f>
        <v>36392.51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20C352-255A-4E47-8B09-D98BD195D7C3}">
  <sheetPr>
    <tabColor rgb="FF00B0F0"/>
  </sheetPr>
  <dimension ref="A1:P45"/>
  <sheetViews>
    <sheetView view="pageBreakPreview" zoomScale="70" zoomScaleNormal="100" zoomScaleSheetLayoutView="70" workbookViewId="0">
      <selection activeCell="D23" sqref="D2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697</v>
      </c>
      <c r="D3" s="187"/>
      <c r="E3" s="187"/>
      <c r="F3" s="10" t="s">
        <v>3</v>
      </c>
      <c r="G3" s="10"/>
      <c r="H3" s="10"/>
      <c r="I3" s="10"/>
      <c r="J3" s="75">
        <v>214</v>
      </c>
      <c r="O3" s="4"/>
    </row>
    <row r="4" spans="1:16" s="3" customFormat="1" ht="30" customHeight="1">
      <c r="B4" s="11" t="s">
        <v>5</v>
      </c>
      <c r="C4" s="12" t="s">
        <v>698</v>
      </c>
      <c r="D4" s="13"/>
      <c r="E4" s="13"/>
      <c r="F4" s="14" t="s">
        <v>6</v>
      </c>
      <c r="G4" s="15"/>
      <c r="H4" s="15"/>
      <c r="I4" s="15"/>
      <c r="J4" s="16">
        <v>45475</v>
      </c>
      <c r="L4" s="17"/>
      <c r="P4" s="4"/>
    </row>
    <row r="5" spans="1:16" s="3" customFormat="1" ht="30" customHeight="1">
      <c r="B5" s="11" t="s">
        <v>7</v>
      </c>
      <c r="C5" s="183" t="s">
        <v>554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3</v>
      </c>
      <c r="C11" s="42" t="s">
        <v>137</v>
      </c>
      <c r="D11" s="98" t="s">
        <v>699</v>
      </c>
      <c r="E11" s="44"/>
      <c r="F11" s="45">
        <v>899</v>
      </c>
      <c r="G11" s="46"/>
      <c r="H11" s="47"/>
      <c r="I11" s="48"/>
      <c r="J11" s="50">
        <f>F11*B11</f>
        <v>2697</v>
      </c>
      <c r="L11" s="45">
        <v>1108</v>
      </c>
      <c r="M11" s="45">
        <v>3008</v>
      </c>
      <c r="N11" s="1"/>
      <c r="O11" s="4"/>
    </row>
    <row r="12" spans="1:16" s="3" customFormat="1" ht="20.100000000000001" customHeight="1">
      <c r="B12" s="41">
        <v>1</v>
      </c>
      <c r="C12" s="42" t="s">
        <v>137</v>
      </c>
      <c r="D12" s="98" t="s">
        <v>700</v>
      </c>
      <c r="E12" s="44"/>
      <c r="F12" s="45">
        <v>1599</v>
      </c>
      <c r="G12" s="46"/>
      <c r="H12" s="47"/>
      <c r="I12" s="48"/>
      <c r="J12" s="50">
        <f t="shared" ref="J12:J16" si="0">F12*B12</f>
        <v>1599</v>
      </c>
      <c r="L12" s="45">
        <v>800</v>
      </c>
      <c r="M12" s="45">
        <v>9300</v>
      </c>
      <c r="N12" s="1"/>
      <c r="O12" s="4"/>
    </row>
    <row r="13" spans="1:16" s="3" customFormat="1" ht="20.100000000000001" customHeight="1">
      <c r="B13" s="41">
        <v>1</v>
      </c>
      <c r="C13" s="42" t="s">
        <v>137</v>
      </c>
      <c r="D13" s="43" t="s">
        <v>701</v>
      </c>
      <c r="E13" s="44"/>
      <c r="F13" s="45">
        <v>1929</v>
      </c>
      <c r="G13" s="46"/>
      <c r="H13" s="47"/>
      <c r="I13" s="48"/>
      <c r="J13" s="50">
        <f t="shared" si="0"/>
        <v>1929</v>
      </c>
      <c r="M13" s="1"/>
      <c r="N13" s="1"/>
      <c r="O13" s="4"/>
      <c r="P13" s="49"/>
    </row>
    <row r="14" spans="1:16" s="3" customFormat="1" ht="20.100000000000001" customHeight="1">
      <c r="B14" s="41">
        <v>1</v>
      </c>
      <c r="C14" s="42" t="s">
        <v>137</v>
      </c>
      <c r="D14" s="43" t="s">
        <v>702</v>
      </c>
      <c r="E14" s="44"/>
      <c r="F14" s="45">
        <v>799</v>
      </c>
      <c r="G14" s="46"/>
      <c r="H14" s="47"/>
      <c r="I14" s="48"/>
      <c r="J14" s="50">
        <f t="shared" si="0"/>
        <v>799</v>
      </c>
      <c r="M14" s="1"/>
      <c r="N14" s="1"/>
      <c r="O14" s="4"/>
    </row>
    <row r="15" spans="1:16" s="3" customFormat="1" ht="20.100000000000001" customHeight="1">
      <c r="B15" s="41">
        <v>2</v>
      </c>
      <c r="C15" s="42" t="s">
        <v>31</v>
      </c>
      <c r="D15" s="43" t="s">
        <v>703</v>
      </c>
      <c r="E15" s="44"/>
      <c r="F15" s="110">
        <v>299.75</v>
      </c>
      <c r="G15" s="46"/>
      <c r="H15" s="47"/>
      <c r="I15" s="48"/>
      <c r="J15" s="50">
        <f t="shared" si="0"/>
        <v>599.5</v>
      </c>
      <c r="M15" s="1"/>
      <c r="N15" s="1"/>
      <c r="O15" s="4"/>
    </row>
    <row r="16" spans="1:16" s="3" customFormat="1" ht="20.100000000000001" customHeight="1">
      <c r="B16" s="41">
        <v>3</v>
      </c>
      <c r="C16" s="42" t="s">
        <v>137</v>
      </c>
      <c r="D16" s="43" t="s">
        <v>704</v>
      </c>
      <c r="E16" s="44"/>
      <c r="F16" s="45">
        <v>949.75</v>
      </c>
      <c r="G16" s="46"/>
      <c r="H16" s="47"/>
      <c r="I16" s="48"/>
      <c r="J16" s="50">
        <f t="shared" si="0"/>
        <v>2849.25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 t="s">
        <v>705</v>
      </c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>
        <v>3</v>
      </c>
      <c r="C20" s="42" t="s">
        <v>137</v>
      </c>
      <c r="D20" s="43" t="s">
        <v>706</v>
      </c>
      <c r="E20" s="57"/>
      <c r="F20" s="54">
        <v>1500</v>
      </c>
      <c r="G20" s="46"/>
      <c r="H20" s="47"/>
      <c r="I20" s="48"/>
      <c r="J20" s="55">
        <f>F20*B20</f>
        <v>4500</v>
      </c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 t="s">
        <v>707</v>
      </c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 t="s">
        <v>708</v>
      </c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 t="s">
        <v>709</v>
      </c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43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14972.75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6" t="s">
        <v>681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3A902D-DB2C-4EAE-B029-07852DCAB753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178</v>
      </c>
      <c r="L3" s="4"/>
      <c r="O3" s="4"/>
    </row>
    <row r="4" spans="1:16" s="3" customFormat="1" ht="30" customHeight="1">
      <c r="B4" s="11" t="s">
        <v>5</v>
      </c>
      <c r="C4" s="12" t="s">
        <v>552</v>
      </c>
      <c r="D4" s="13"/>
      <c r="E4" s="13"/>
      <c r="F4" s="14" t="s">
        <v>6</v>
      </c>
      <c r="G4" s="15"/>
      <c r="H4" s="15"/>
      <c r="I4" s="15"/>
      <c r="J4" s="16">
        <v>45427</v>
      </c>
      <c r="L4" s="4"/>
      <c r="P4" s="4"/>
    </row>
    <row r="5" spans="1:16" s="3" customFormat="1" ht="30" customHeight="1">
      <c r="B5" s="11" t="s">
        <v>7</v>
      </c>
      <c r="C5" s="183" t="s">
        <v>557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52</v>
      </c>
      <c r="C11" s="42" t="s">
        <v>152</v>
      </c>
      <c r="D11" s="98" t="s">
        <v>110</v>
      </c>
      <c r="E11" s="44"/>
      <c r="F11" s="45">
        <v>203</v>
      </c>
      <c r="G11" s="46"/>
      <c r="H11" s="47"/>
      <c r="I11" s="48"/>
      <c r="J11" s="50">
        <f>F11*B11</f>
        <v>10556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10556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040EC-9D67-4ED2-A778-6971866C0E25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177</v>
      </c>
      <c r="L3" s="4"/>
      <c r="O3" s="4"/>
    </row>
    <row r="4" spans="1:16" s="3" customFormat="1" ht="30" customHeight="1">
      <c r="B4" s="11" t="s">
        <v>5</v>
      </c>
      <c r="C4" s="12" t="s">
        <v>558</v>
      </c>
      <c r="D4" s="13"/>
      <c r="E4" s="13"/>
      <c r="F4" s="14" t="s">
        <v>6</v>
      </c>
      <c r="G4" s="15"/>
      <c r="H4" s="15"/>
      <c r="I4" s="15"/>
      <c r="J4" s="16">
        <v>45427</v>
      </c>
      <c r="L4" s="4"/>
      <c r="P4" s="4"/>
    </row>
    <row r="5" spans="1:16" s="3" customFormat="1" ht="30" customHeight="1">
      <c r="B5" s="11" t="s">
        <v>7</v>
      </c>
      <c r="C5" s="183" t="s">
        <v>279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450</v>
      </c>
      <c r="C11" s="42" t="s">
        <v>152</v>
      </c>
      <c r="D11" s="98" t="s">
        <v>110</v>
      </c>
      <c r="E11" s="44"/>
      <c r="F11" s="45">
        <v>203</v>
      </c>
      <c r="G11" s="46"/>
      <c r="H11" s="47"/>
      <c r="I11" s="48"/>
      <c r="J11" s="50">
        <f>F11*B11</f>
        <v>91350</v>
      </c>
      <c r="L11" s="4"/>
      <c r="M11" s="1"/>
      <c r="N11" s="1"/>
      <c r="O11" s="4"/>
    </row>
    <row r="12" spans="1:16" s="3" customFormat="1" ht="20.100000000000001" customHeight="1">
      <c r="B12" s="41">
        <v>200</v>
      </c>
      <c r="C12" s="42" t="s">
        <v>137</v>
      </c>
      <c r="D12" s="98" t="s">
        <v>281</v>
      </c>
      <c r="E12" s="44"/>
      <c r="F12" s="45">
        <v>245</v>
      </c>
      <c r="G12" s="76"/>
      <c r="H12" s="47"/>
      <c r="I12" s="48"/>
      <c r="J12" s="50">
        <f>F12*B12</f>
        <v>49000</v>
      </c>
      <c r="L12" s="93" t="s">
        <v>559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560</v>
      </c>
      <c r="E26" s="170"/>
      <c r="F26" s="173" t="s">
        <v>15</v>
      </c>
      <c r="G26" s="174"/>
      <c r="H26" s="62"/>
      <c r="I26" s="62"/>
      <c r="J26" s="158">
        <f>SUM(J11:J25)</f>
        <v>140350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5619F5-6CCF-4D88-A47A-EA6D720C6CFB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176</v>
      </c>
      <c r="L3" s="4"/>
      <c r="O3" s="4"/>
    </row>
    <row r="4" spans="1:16" s="3" customFormat="1" ht="30" customHeight="1">
      <c r="B4" s="11" t="s">
        <v>5</v>
      </c>
      <c r="C4" s="12" t="s">
        <v>552</v>
      </c>
      <c r="D4" s="13"/>
      <c r="E4" s="13"/>
      <c r="F4" s="14" t="s">
        <v>6</v>
      </c>
      <c r="G4" s="15"/>
      <c r="H4" s="15"/>
      <c r="I4" s="15"/>
      <c r="J4" s="16">
        <v>45421</v>
      </c>
      <c r="L4" s="4"/>
      <c r="P4" s="4"/>
    </row>
    <row r="5" spans="1:16" s="3" customFormat="1" ht="30" customHeight="1">
      <c r="B5" s="11" t="s">
        <v>7</v>
      </c>
      <c r="C5" s="183" t="s">
        <v>551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400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82000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82000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7A79B3-2E4E-41B7-A245-5D4D9429B247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175</v>
      </c>
      <c r="L3" s="4"/>
      <c r="O3" s="4"/>
    </row>
    <row r="4" spans="1:16" s="3" customFormat="1" ht="30" customHeight="1">
      <c r="B4" s="11" t="s">
        <v>5</v>
      </c>
      <c r="C4" s="12" t="s">
        <v>553</v>
      </c>
      <c r="D4" s="13"/>
      <c r="E4" s="13"/>
      <c r="F4" s="14" t="s">
        <v>6</v>
      </c>
      <c r="G4" s="15"/>
      <c r="H4" s="15"/>
      <c r="I4" s="15"/>
      <c r="J4" s="16">
        <v>45421</v>
      </c>
      <c r="L4" s="4"/>
      <c r="P4" s="4"/>
    </row>
    <row r="5" spans="1:16" s="3" customFormat="1" ht="30" customHeight="1">
      <c r="B5" s="11" t="s">
        <v>7</v>
      </c>
      <c r="C5" s="183" t="s">
        <v>279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200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41000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41000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40D66B-9877-4D61-A7A2-DF7CB01889B3}">
  <sheetPr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550</v>
      </c>
      <c r="D3" s="191"/>
      <c r="E3" s="191"/>
      <c r="F3" s="10" t="s">
        <v>3</v>
      </c>
      <c r="G3" s="10"/>
      <c r="H3" s="10"/>
      <c r="I3" s="10"/>
      <c r="J3" s="75">
        <v>174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45421</v>
      </c>
      <c r="L4" s="4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f>260+100</f>
        <v>360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144000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144000</v>
      </c>
      <c r="K26" s="158"/>
      <c r="L26" s="189">
        <f>SUM(L11:L25)</f>
        <v>36392.51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0"/>
      <c r="C42" s="160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EEF5E5-3D0C-46B2-A9B5-C6244C7395EA}">
  <sheetPr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545</v>
      </c>
      <c r="D3" s="188"/>
      <c r="E3" s="188"/>
      <c r="F3" s="10" t="s">
        <v>3</v>
      </c>
      <c r="G3" s="10"/>
      <c r="H3" s="10"/>
      <c r="I3" s="10"/>
      <c r="J3" s="75">
        <v>173</v>
      </c>
      <c r="O3" s="4"/>
    </row>
    <row r="4" spans="1:16" s="3" customFormat="1" ht="30" customHeight="1">
      <c r="B4" s="11" t="s">
        <v>5</v>
      </c>
      <c r="C4" s="12" t="s">
        <v>555</v>
      </c>
      <c r="D4" s="13"/>
      <c r="E4" s="13"/>
      <c r="F4" s="14" t="s">
        <v>6</v>
      </c>
      <c r="G4" s="15"/>
      <c r="H4" s="15"/>
      <c r="I4" s="15"/>
      <c r="J4" s="16">
        <v>45421</v>
      </c>
      <c r="L4" s="17"/>
      <c r="P4" s="4"/>
    </row>
    <row r="5" spans="1:16" s="3" customFormat="1" ht="30" customHeight="1">
      <c r="B5" s="11" t="s">
        <v>7</v>
      </c>
      <c r="C5" s="79" t="s">
        <v>554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143</v>
      </c>
      <c r="D11" s="193" t="s">
        <v>540</v>
      </c>
      <c r="E11" s="194"/>
      <c r="F11" s="45">
        <v>5000</v>
      </c>
      <c r="G11" s="76"/>
      <c r="H11" s="47"/>
      <c r="I11" s="48"/>
      <c r="J11" s="50">
        <f>F11*B11</f>
        <v>10000</v>
      </c>
      <c r="L11" s="80"/>
      <c r="M11" s="5"/>
      <c r="N11" s="5"/>
      <c r="P11" s="4"/>
    </row>
    <row r="12" spans="1:16" s="3" customFormat="1" ht="20.100000000000001" customHeight="1">
      <c r="B12" s="41">
        <v>2</v>
      </c>
      <c r="C12" s="42" t="s">
        <v>143</v>
      </c>
      <c r="D12" s="81" t="s">
        <v>541</v>
      </c>
      <c r="E12" s="44"/>
      <c r="F12" s="45">
        <v>1000</v>
      </c>
      <c r="G12" s="76"/>
      <c r="H12" s="47"/>
      <c r="I12" s="48"/>
      <c r="J12" s="50">
        <f>F12*B12</f>
        <v>2000</v>
      </c>
      <c r="M12" s="1"/>
      <c r="N12" s="1"/>
      <c r="O12" s="4"/>
    </row>
    <row r="13" spans="1:16" s="3" customFormat="1" ht="20.100000000000001" customHeight="1">
      <c r="B13" s="41">
        <v>2</v>
      </c>
      <c r="C13" s="42" t="s">
        <v>143</v>
      </c>
      <c r="D13" s="77" t="s">
        <v>542</v>
      </c>
      <c r="E13" s="44"/>
      <c r="F13" s="45">
        <v>3000</v>
      </c>
      <c r="G13" s="76"/>
      <c r="H13" s="47"/>
      <c r="I13" s="48"/>
      <c r="J13" s="50">
        <f>F13*B13</f>
        <v>6000</v>
      </c>
      <c r="M13" s="1"/>
      <c r="N13" s="1"/>
      <c r="O13" s="4"/>
    </row>
    <row r="14" spans="1:16" s="3" customFormat="1" ht="20.100000000000001" customHeight="1">
      <c r="B14" s="41">
        <v>2</v>
      </c>
      <c r="C14" s="42" t="s">
        <v>143</v>
      </c>
      <c r="D14" s="77" t="s">
        <v>543</v>
      </c>
      <c r="E14" s="44"/>
      <c r="F14" s="45">
        <v>8000</v>
      </c>
      <c r="G14" s="46"/>
      <c r="H14" s="47"/>
      <c r="I14" s="48"/>
      <c r="J14" s="50">
        <f>F14*B14</f>
        <v>16000</v>
      </c>
      <c r="M14" s="1"/>
      <c r="N14" s="1"/>
      <c r="O14" s="4"/>
      <c r="P14" s="49"/>
    </row>
    <row r="15" spans="1:16" s="3" customFormat="1" ht="20.100000000000001" customHeight="1">
      <c r="B15" s="41">
        <v>2</v>
      </c>
      <c r="C15" s="42" t="s">
        <v>143</v>
      </c>
      <c r="D15" s="77" t="s">
        <v>544</v>
      </c>
      <c r="E15" s="44"/>
      <c r="F15" s="45">
        <v>2000</v>
      </c>
      <c r="G15" s="46"/>
      <c r="H15" s="47"/>
      <c r="I15" s="48"/>
      <c r="J15" s="50">
        <f>F15*B15</f>
        <v>4000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38000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DC085-E9A9-4F6A-8F1E-482991E75129}">
  <sheetPr>
    <tabColor rgb="FF00B0F0"/>
  </sheetPr>
  <dimension ref="A1:P45"/>
  <sheetViews>
    <sheetView view="pageBreakPreview" topLeftCell="A2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M1" s="3" t="s">
        <v>547</v>
      </c>
      <c r="O1" s="4"/>
    </row>
    <row r="2" spans="1:16" ht="15" thickTop="1"/>
    <row r="3" spans="1:16" s="3" customFormat="1" ht="30" customHeight="1">
      <c r="B3" s="9" t="s">
        <v>2</v>
      </c>
      <c r="C3" s="191" t="s">
        <v>546</v>
      </c>
      <c r="D3" s="191"/>
      <c r="E3" s="191"/>
      <c r="F3" s="10" t="s">
        <v>3</v>
      </c>
      <c r="G3" s="10"/>
      <c r="H3" s="10"/>
      <c r="I3" s="10"/>
      <c r="J3" s="75">
        <v>172</v>
      </c>
      <c r="O3" s="4"/>
    </row>
    <row r="4" spans="1:16" s="3" customFormat="1" ht="30" customHeight="1">
      <c r="B4" s="11" t="s">
        <v>5</v>
      </c>
      <c r="C4" s="12" t="s">
        <v>548</v>
      </c>
      <c r="D4" s="13"/>
      <c r="E4" s="13"/>
      <c r="F4" s="14" t="s">
        <v>6</v>
      </c>
      <c r="G4" s="15"/>
      <c r="H4" s="15"/>
      <c r="I4" s="15"/>
      <c r="J4" s="16">
        <v>45419</v>
      </c>
      <c r="L4" s="17"/>
      <c r="P4" s="4"/>
    </row>
    <row r="5" spans="1:16" s="3" customFormat="1" ht="30" customHeight="1">
      <c r="B5" s="11" t="s">
        <v>7</v>
      </c>
      <c r="C5" s="79" t="s">
        <v>524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137</v>
      </c>
      <c r="D11" s="193" t="s">
        <v>549</v>
      </c>
      <c r="E11" s="194"/>
      <c r="F11" s="45">
        <v>2700</v>
      </c>
      <c r="G11" s="76"/>
      <c r="H11" s="47"/>
      <c r="I11" s="48"/>
      <c r="J11" s="50">
        <f>F11*B11</f>
        <v>2700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2700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31D156-1EAB-4433-AA75-433F407BDED7}">
  <sheetPr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545</v>
      </c>
      <c r="D3" s="188"/>
      <c r="E3" s="188"/>
      <c r="F3" s="10" t="s">
        <v>3</v>
      </c>
      <c r="G3" s="10"/>
      <c r="H3" s="10"/>
      <c r="I3" s="10"/>
      <c r="J3" s="75">
        <v>171</v>
      </c>
      <c r="O3" s="4"/>
    </row>
    <row r="4" spans="1:16" s="3" customFormat="1" ht="30" customHeight="1">
      <c r="B4" s="11" t="s">
        <v>5</v>
      </c>
      <c r="C4" s="12" t="s">
        <v>539</v>
      </c>
      <c r="D4" s="13"/>
      <c r="E4" s="13"/>
      <c r="F4" s="14" t="s">
        <v>6</v>
      </c>
      <c r="G4" s="15"/>
      <c r="H4" s="15"/>
      <c r="I4" s="15"/>
      <c r="J4" s="16">
        <v>45418</v>
      </c>
      <c r="L4" s="17"/>
      <c r="P4" s="4"/>
    </row>
    <row r="5" spans="1:16" s="3" customFormat="1" ht="30" customHeight="1">
      <c r="B5" s="11" t="s">
        <v>7</v>
      </c>
      <c r="C5" s="79" t="s">
        <v>524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540</v>
      </c>
      <c r="E11" s="194"/>
      <c r="F11" s="45">
        <v>5000</v>
      </c>
      <c r="G11" s="76"/>
      <c r="H11" s="47"/>
      <c r="I11" s="48"/>
      <c r="J11" s="50">
        <f>F11</f>
        <v>5000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541</v>
      </c>
      <c r="E12" s="44"/>
      <c r="F12" s="45">
        <v>1000</v>
      </c>
      <c r="G12" s="76"/>
      <c r="H12" s="47"/>
      <c r="I12" s="48"/>
      <c r="J12" s="50">
        <f>F12</f>
        <v>1000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542</v>
      </c>
      <c r="E13" s="44"/>
      <c r="F13" s="45">
        <v>3000</v>
      </c>
      <c r="G13" s="76"/>
      <c r="H13" s="47"/>
      <c r="I13" s="48"/>
      <c r="J13" s="50">
        <f>F13</f>
        <v>3000</v>
      </c>
      <c r="M13" s="1"/>
      <c r="N13" s="1"/>
      <c r="O13" s="4"/>
    </row>
    <row r="14" spans="1:16" s="3" customFormat="1" ht="20.100000000000001" customHeight="1">
      <c r="B14" s="41"/>
      <c r="C14" s="42"/>
      <c r="D14" s="77" t="s">
        <v>543</v>
      </c>
      <c r="E14" s="44"/>
      <c r="F14" s="45">
        <v>8000</v>
      </c>
      <c r="G14" s="46"/>
      <c r="H14" s="47"/>
      <c r="I14" s="48"/>
      <c r="J14" s="50">
        <f>F14</f>
        <v>8000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 t="s">
        <v>544</v>
      </c>
      <c r="E15" s="44"/>
      <c r="F15" s="45">
        <v>2000</v>
      </c>
      <c r="G15" s="46"/>
      <c r="H15" s="47"/>
      <c r="I15" s="48"/>
      <c r="J15" s="50">
        <f>F15</f>
        <v>2000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19000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E7DBC5-DDA0-431C-8B69-90707B2829EF}">
  <sheetPr codeName="Sheet1"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377</v>
      </c>
      <c r="D3" s="191"/>
      <c r="E3" s="191"/>
      <c r="F3" s="10" t="s">
        <v>3</v>
      </c>
      <c r="G3" s="10"/>
      <c r="H3" s="10"/>
      <c r="I3" s="10"/>
      <c r="J3" s="75">
        <v>170</v>
      </c>
      <c r="L3" s="4"/>
      <c r="O3" s="4"/>
    </row>
    <row r="4" spans="1:16" s="3" customFormat="1" ht="30" customHeight="1">
      <c r="B4" s="11" t="s">
        <v>5</v>
      </c>
      <c r="C4" s="12" t="s">
        <v>538</v>
      </c>
      <c r="D4" s="13"/>
      <c r="E4" s="13"/>
      <c r="F4" s="14" t="s">
        <v>6</v>
      </c>
      <c r="G4" s="15"/>
      <c r="H4" s="15"/>
      <c r="I4" s="15"/>
      <c r="J4" s="16">
        <v>45415</v>
      </c>
      <c r="L4" s="4"/>
      <c r="P4" s="4"/>
    </row>
    <row r="5" spans="1:16" s="3" customFormat="1" ht="30" customHeight="1">
      <c r="B5" s="11" t="s">
        <v>7</v>
      </c>
      <c r="C5" s="183" t="s">
        <v>350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24</v>
      </c>
      <c r="C11" s="42" t="s">
        <v>536</v>
      </c>
      <c r="D11" s="98" t="s">
        <v>537</v>
      </c>
      <c r="E11" s="44"/>
      <c r="F11" s="45">
        <v>140</v>
      </c>
      <c r="G11" s="46"/>
      <c r="H11" s="47"/>
      <c r="I11" s="48"/>
      <c r="J11" s="50">
        <f>F11*B11</f>
        <v>3360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3360</v>
      </c>
      <c r="K26" s="158"/>
      <c r="L26" s="189">
        <f>SUM(L11:L25)</f>
        <v>36392.51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4EA10C-D33B-4D1D-9541-8EA8B53B0258}">
  <sheetPr codeName="Sheet2">
    <tabColor rgb="FF00B0F0"/>
  </sheetPr>
  <dimension ref="A1:P45"/>
  <sheetViews>
    <sheetView view="pageBreakPreview" topLeftCell="A23" zoomScale="90" zoomScaleNormal="100" zoomScaleSheetLayoutView="90" workbookViewId="0">
      <selection activeCell="C33" sqref="C33:C3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150</v>
      </c>
      <c r="D3" s="188"/>
      <c r="E3" s="188"/>
      <c r="F3" s="10" t="s">
        <v>3</v>
      </c>
      <c r="G3" s="10"/>
      <c r="H3" s="10"/>
      <c r="I3" s="10"/>
      <c r="J3" s="75">
        <v>169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576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183" t="s">
        <v>575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23</v>
      </c>
      <c r="C11" s="42" t="s">
        <v>137</v>
      </c>
      <c r="D11" s="193" t="s">
        <v>288</v>
      </c>
      <c r="E11" s="194"/>
      <c r="F11" s="45">
        <v>175</v>
      </c>
      <c r="G11" s="76"/>
      <c r="H11" s="47"/>
      <c r="I11" s="48"/>
      <c r="J11" s="50">
        <f>F11*B11</f>
        <v>4025</v>
      </c>
      <c r="M11" s="5"/>
      <c r="N11" s="5"/>
      <c r="P11" s="4"/>
    </row>
    <row r="12" spans="1:16" s="3" customFormat="1" ht="20.100000000000001" customHeight="1">
      <c r="B12" s="41">
        <v>11</v>
      </c>
      <c r="C12" s="42" t="s">
        <v>137</v>
      </c>
      <c r="D12" s="77" t="s">
        <v>292</v>
      </c>
      <c r="E12" s="44"/>
      <c r="F12" s="45">
        <v>120</v>
      </c>
      <c r="G12" s="76"/>
      <c r="H12" s="47"/>
      <c r="I12" s="48"/>
      <c r="J12" s="50">
        <f t="shared" ref="J12:J19" si="0">F12*B12</f>
        <v>1320</v>
      </c>
      <c r="L12" s="1"/>
      <c r="M12" s="1"/>
      <c r="N12" s="1"/>
      <c r="O12" s="4"/>
    </row>
    <row r="13" spans="1:16" s="3" customFormat="1" ht="20.100000000000001" customHeight="1">
      <c r="B13" s="41">
        <v>4</v>
      </c>
      <c r="C13" s="42" t="s">
        <v>137</v>
      </c>
      <c r="D13" s="77" t="s">
        <v>577</v>
      </c>
      <c r="E13" s="44"/>
      <c r="F13" s="45">
        <v>465</v>
      </c>
      <c r="G13" s="76"/>
      <c r="H13" s="47"/>
      <c r="I13" s="48"/>
      <c r="J13" s="50">
        <f t="shared" si="0"/>
        <v>1860</v>
      </c>
      <c r="L13" s="1"/>
      <c r="M13" s="1"/>
      <c r="N13" s="1"/>
      <c r="O13" s="4"/>
    </row>
    <row r="14" spans="1:16" s="3" customFormat="1" ht="20.100000000000001" customHeight="1">
      <c r="B14" s="41">
        <v>19</v>
      </c>
      <c r="C14" s="42" t="s">
        <v>137</v>
      </c>
      <c r="D14" s="77" t="s">
        <v>291</v>
      </c>
      <c r="E14" s="44"/>
      <c r="F14" s="45">
        <v>235</v>
      </c>
      <c r="G14" s="46"/>
      <c r="H14" s="47"/>
      <c r="I14" s="48"/>
      <c r="J14" s="50">
        <f t="shared" si="0"/>
        <v>4465</v>
      </c>
      <c r="L14" s="1"/>
      <c r="M14" s="1"/>
      <c r="N14" s="1"/>
      <c r="O14" s="4"/>
      <c r="P14" s="49"/>
    </row>
    <row r="15" spans="1:16" s="3" customFormat="1" ht="20.100000000000001" customHeight="1">
      <c r="B15" s="41">
        <v>3</v>
      </c>
      <c r="C15" s="42" t="s">
        <v>265</v>
      </c>
      <c r="D15" s="77" t="s">
        <v>299</v>
      </c>
      <c r="E15" s="44"/>
      <c r="F15" s="45">
        <v>80</v>
      </c>
      <c r="G15" s="46"/>
      <c r="H15" s="47"/>
      <c r="I15" s="48"/>
      <c r="J15" s="50">
        <f t="shared" si="0"/>
        <v>240</v>
      </c>
      <c r="L15" s="1"/>
      <c r="M15" s="1"/>
      <c r="N15" s="1"/>
      <c r="O15" s="4"/>
    </row>
    <row r="16" spans="1:16" s="3" customFormat="1" ht="20.100000000000001" customHeight="1">
      <c r="B16" s="41">
        <v>1</v>
      </c>
      <c r="C16" s="42" t="s">
        <v>265</v>
      </c>
      <c r="D16" s="77" t="s">
        <v>300</v>
      </c>
      <c r="E16" s="44"/>
      <c r="F16" s="45">
        <v>75</v>
      </c>
      <c r="G16" s="46"/>
      <c r="H16" s="47"/>
      <c r="I16" s="48"/>
      <c r="J16" s="50">
        <f t="shared" si="0"/>
        <v>75</v>
      </c>
      <c r="M16" s="5"/>
      <c r="O16" s="4"/>
    </row>
    <row r="17" spans="2:15" s="3" customFormat="1" ht="20.100000000000001" customHeight="1">
      <c r="B17" s="41">
        <v>2.2999999999999998</v>
      </c>
      <c r="C17" s="42" t="s">
        <v>265</v>
      </c>
      <c r="D17" s="77" t="s">
        <v>578</v>
      </c>
      <c r="E17" s="44"/>
      <c r="F17" s="45">
        <v>100</v>
      </c>
      <c r="G17" s="46"/>
      <c r="H17" s="47"/>
      <c r="I17" s="48"/>
      <c r="J17" s="50">
        <f t="shared" si="0"/>
        <v>229.99999999999997</v>
      </c>
      <c r="M17" s="5"/>
      <c r="N17" s="4"/>
      <c r="O17" s="4"/>
    </row>
    <row r="18" spans="2:15" s="3" customFormat="1" ht="20.100000000000001" customHeight="1">
      <c r="B18" s="41">
        <v>16</v>
      </c>
      <c r="C18" s="42" t="s">
        <v>137</v>
      </c>
      <c r="D18" s="77" t="s">
        <v>579</v>
      </c>
      <c r="E18" s="59"/>
      <c r="F18" s="45">
        <v>300</v>
      </c>
      <c r="G18" s="46"/>
      <c r="H18" s="47"/>
      <c r="I18" s="48"/>
      <c r="J18" s="50">
        <f t="shared" si="0"/>
        <v>4800</v>
      </c>
      <c r="M18" s="5"/>
      <c r="N18" s="4"/>
      <c r="O18" s="4"/>
    </row>
    <row r="19" spans="2:15" s="3" customFormat="1" ht="20.100000000000001" customHeight="1">
      <c r="B19" s="41">
        <v>1</v>
      </c>
      <c r="C19" s="42" t="s">
        <v>500</v>
      </c>
      <c r="D19" s="77" t="s">
        <v>580</v>
      </c>
      <c r="E19" s="53"/>
      <c r="F19" s="45">
        <v>250</v>
      </c>
      <c r="G19" s="46"/>
      <c r="H19" s="47"/>
      <c r="I19" s="48"/>
      <c r="J19" s="50">
        <f t="shared" si="0"/>
        <v>250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17265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honeticPr fontId="43" type="noConversion"/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B240BE-5E30-44EB-81B6-EF74523DFAE4}">
  <sheetPr>
    <tabColor rgb="FF0070C0"/>
  </sheetPr>
  <dimension ref="A1:P50"/>
  <sheetViews>
    <sheetView view="pageBreakPreview" topLeftCell="A7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213</v>
      </c>
      <c r="O3" s="4"/>
    </row>
    <row r="4" spans="1:16" s="3" customFormat="1" ht="30" customHeight="1">
      <c r="B4" s="11" t="s">
        <v>5</v>
      </c>
      <c r="C4" s="12" t="s">
        <v>685</v>
      </c>
      <c r="D4" s="13"/>
      <c r="E4" s="13"/>
      <c r="F4" s="14" t="s">
        <v>6</v>
      </c>
      <c r="G4" s="15"/>
      <c r="H4" s="15"/>
      <c r="I4" s="15"/>
      <c r="J4" s="16">
        <v>45474</v>
      </c>
      <c r="L4" s="17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685</v>
      </c>
      <c r="E11" s="44"/>
      <c r="F11" s="45">
        <v>208400</v>
      </c>
      <c r="G11" s="76"/>
      <c r="H11" s="47"/>
      <c r="I11" s="48"/>
      <c r="J11" s="50">
        <f>F11</f>
        <v>208400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N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5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5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5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N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 t="s">
        <v>686</v>
      </c>
      <c r="E26" s="170"/>
      <c r="F26" s="173" t="s">
        <v>15</v>
      </c>
      <c r="G26" s="174"/>
      <c r="H26" s="62"/>
      <c r="I26" s="62"/>
      <c r="J26" s="158">
        <f>SUM(J11:J25)</f>
        <v>208400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L27" s="3">
        <f>4000+1267+1307</f>
        <v>6574</v>
      </c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  <row r="46" spans="2:16">
      <c r="D46" s="7" t="s">
        <v>687</v>
      </c>
      <c r="E46" s="8">
        <v>209165.63</v>
      </c>
    </row>
    <row r="47" spans="2:16">
      <c r="D47" s="7" t="s">
        <v>688</v>
      </c>
      <c r="E47" s="8">
        <v>209165.63</v>
      </c>
    </row>
    <row r="48" spans="2:16">
      <c r="D48" s="7" t="s">
        <v>689</v>
      </c>
      <c r="E48" s="8">
        <v>34320.800000000003</v>
      </c>
    </row>
    <row r="49" spans="4:5">
      <c r="D49" s="7" t="s">
        <v>690</v>
      </c>
      <c r="E49" s="8">
        <v>35338.629999999997</v>
      </c>
    </row>
    <row r="50" spans="4:5" ht="15">
      <c r="E50" s="157">
        <f>SUM(E46:E49)</f>
        <v>487990.69</v>
      </c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7242C-E495-433D-B60C-3913687F4741}">
  <sheetPr codeName="Sheet3">
    <tabColor rgb="FFC00000"/>
  </sheetPr>
  <dimension ref="A1:P45"/>
  <sheetViews>
    <sheetView view="pageBreakPreview" zoomScale="90" zoomScaleNormal="100" zoomScaleSheetLayoutView="90" workbookViewId="0">
      <selection activeCell="E13" sqref="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331</v>
      </c>
      <c r="D3" s="188"/>
      <c r="E3" s="188"/>
      <c r="F3" s="10" t="s">
        <v>3</v>
      </c>
      <c r="G3" s="10"/>
      <c r="H3" s="10"/>
      <c r="I3" s="10"/>
      <c r="J3" s="75">
        <v>168</v>
      </c>
      <c r="O3" s="4"/>
    </row>
    <row r="4" spans="1:16" s="3" customFormat="1" ht="30" customHeight="1">
      <c r="B4" s="11" t="s">
        <v>5</v>
      </c>
      <c r="C4" s="12" t="s">
        <v>332</v>
      </c>
      <c r="D4" s="13"/>
      <c r="E4" s="13"/>
      <c r="F4" s="14" t="s">
        <v>6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535</v>
      </c>
      <c r="E13" s="44"/>
      <c r="F13" s="45">
        <v>2500</v>
      </c>
      <c r="G13" s="76"/>
      <c r="H13" s="47"/>
      <c r="I13" s="48"/>
      <c r="J13" s="50">
        <f>F13</f>
        <v>2500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EB459-3D69-411A-98D0-EA9CCF81412C}">
  <sheetPr codeName="Sheet4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239</v>
      </c>
      <c r="D3" s="188"/>
      <c r="E3" s="188"/>
      <c r="F3" s="10" t="s">
        <v>3</v>
      </c>
      <c r="G3" s="10"/>
      <c r="H3" s="10"/>
      <c r="I3" s="10"/>
      <c r="J3" s="75">
        <v>167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533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7000</v>
      </c>
      <c r="M26" s="63"/>
      <c r="O26" s="4">
        <f>10000-O25</f>
        <v>165.29999999999927</v>
      </c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CE0CD5-C519-4523-AAF9-C68F11BE7D49}">
  <sheetPr codeName="Sheet5">
    <tabColor rgb="FFC00000"/>
  </sheetPr>
  <dimension ref="A1:P45"/>
  <sheetViews>
    <sheetView view="pageBreakPreview" zoomScale="80" zoomScaleNormal="100" zoomScaleSheetLayoutView="8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192</v>
      </c>
      <c r="D3" s="188"/>
      <c r="E3" s="188"/>
      <c r="F3" s="10" t="s">
        <v>3</v>
      </c>
      <c r="G3" s="10"/>
      <c r="H3" s="10"/>
      <c r="I3" s="10"/>
      <c r="J3" s="75">
        <v>166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534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195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565</v>
      </c>
      <c r="E13" s="44"/>
      <c r="F13" s="45">
        <v>2100</v>
      </c>
      <c r="G13" s="46"/>
      <c r="H13" s="47"/>
      <c r="I13" s="48"/>
      <c r="J13" s="50">
        <f>F13</f>
        <v>2100</v>
      </c>
      <c r="L13" s="1">
        <f>9000/30</f>
        <v>300</v>
      </c>
      <c r="M13" s="1"/>
      <c r="N13" s="1">
        <f>46*180</f>
        <v>8280</v>
      </c>
      <c r="O13" s="4">
        <f>7000/180</f>
        <v>38.888888888888886</v>
      </c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>
        <f>39*180</f>
        <v>7020</v>
      </c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2100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9264CC-3426-4721-BB07-36372BBDED53}">
  <sheetPr>
    <tabColor rgb="FFC00000"/>
  </sheetPr>
  <dimension ref="A1:P45"/>
  <sheetViews>
    <sheetView view="pageBreakPreview" zoomScale="90" zoomScaleNormal="100" zoomScaleSheetLayoutView="90" workbookViewId="0">
      <selection activeCell="E13" sqref="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567</v>
      </c>
      <c r="D3" s="188"/>
      <c r="E3" s="188"/>
      <c r="F3" s="10" t="s">
        <v>3</v>
      </c>
      <c r="G3" s="10"/>
      <c r="H3" s="10"/>
      <c r="I3" s="10"/>
      <c r="J3" s="75">
        <v>165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573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183" t="s">
        <v>574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569</v>
      </c>
      <c r="E12" s="44"/>
      <c r="F12" s="45"/>
      <c r="G12" s="76"/>
      <c r="H12" s="47"/>
      <c r="I12" s="48"/>
      <c r="J12" s="50"/>
      <c r="L12" s="146" t="s">
        <v>568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570</v>
      </c>
      <c r="E13" s="44"/>
      <c r="F13" s="45"/>
      <c r="G13" s="76"/>
      <c r="H13" s="47"/>
      <c r="I13" s="48"/>
      <c r="J13" s="50"/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 t="s">
        <v>571</v>
      </c>
      <c r="E14" s="44"/>
      <c r="F14" s="45">
        <v>5000</v>
      </c>
      <c r="G14" s="76"/>
      <c r="H14" s="47"/>
      <c r="I14" s="48"/>
      <c r="J14" s="50">
        <f>F14</f>
        <v>5000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 t="s">
        <v>572</v>
      </c>
      <c r="E15" s="44"/>
      <c r="F15" s="45">
        <v>5000</v>
      </c>
      <c r="G15" s="46"/>
      <c r="H15" s="47"/>
      <c r="I15" s="48"/>
      <c r="J15" s="50">
        <f>F15</f>
        <v>5000</v>
      </c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AEA2F1-5C23-4FD2-A6F5-28780BE3BC6B}">
  <sheetPr codeName="Sheet7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309</v>
      </c>
      <c r="D3" s="187"/>
      <c r="E3" s="187"/>
      <c r="F3" s="10" t="s">
        <v>3</v>
      </c>
      <c r="G3" s="10"/>
      <c r="H3" s="10"/>
      <c r="I3" s="10"/>
      <c r="J3" s="75">
        <v>164</v>
      </c>
      <c r="L3" s="4"/>
      <c r="O3" s="4"/>
    </row>
    <row r="4" spans="1:16" s="3" customFormat="1" ht="30" customHeight="1">
      <c r="B4" s="11" t="s">
        <v>5</v>
      </c>
      <c r="C4" s="12" t="s">
        <v>530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20</v>
      </c>
      <c r="C11" s="42" t="s">
        <v>311</v>
      </c>
      <c r="D11" s="98" t="s">
        <v>531</v>
      </c>
      <c r="E11" s="44"/>
      <c r="F11" s="45">
        <v>1108</v>
      </c>
      <c r="G11" s="46"/>
      <c r="H11" s="47"/>
      <c r="I11" s="48"/>
      <c r="J11" s="50">
        <f>F11*B11</f>
        <v>22160</v>
      </c>
      <c r="L11" s="4">
        <f>3*1208</f>
        <v>3624</v>
      </c>
      <c r="M11" s="1"/>
      <c r="N11" s="1"/>
      <c r="O11" s="4"/>
    </row>
    <row r="12" spans="1:16" s="3" customFormat="1" ht="20.100000000000001" customHeight="1">
      <c r="B12" s="41">
        <v>80</v>
      </c>
      <c r="C12" s="42" t="s">
        <v>311</v>
      </c>
      <c r="D12" s="98" t="s">
        <v>532</v>
      </c>
      <c r="E12" s="44"/>
      <c r="F12" s="45">
        <v>800</v>
      </c>
      <c r="G12" s="46"/>
      <c r="H12" s="47"/>
      <c r="I12" s="48"/>
      <c r="J12" s="50">
        <f>F12*B12</f>
        <v>64000</v>
      </c>
      <c r="L12" s="4">
        <f>9*800</f>
        <v>7200</v>
      </c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>
        <f>SUM(L11:L12)</f>
        <v>10824</v>
      </c>
      <c r="M13" s="5"/>
      <c r="O13" s="90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6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6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6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4" customHeight="1">
      <c r="B26" s="165"/>
      <c r="C26" s="167" t="s">
        <v>14</v>
      </c>
      <c r="D26" s="169" t="s">
        <v>527</v>
      </c>
      <c r="E26" s="170"/>
      <c r="F26" s="173" t="s">
        <v>15</v>
      </c>
      <c r="G26" s="174"/>
      <c r="H26" s="62"/>
      <c r="I26" s="62"/>
      <c r="J26" s="158">
        <f>SUM(J11:J25)</f>
        <v>86160</v>
      </c>
      <c r="K26" s="158"/>
      <c r="L26" s="189"/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  <c r="L28" s="8"/>
    </row>
    <row r="29" spans="2:16" ht="3.75" customHeight="1">
      <c r="E29" s="64"/>
      <c r="F29" s="64"/>
      <c r="L29" s="8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8"/>
      <c r="M31" s="8"/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8"/>
      <c r="M32" s="8"/>
      <c r="O32" s="5"/>
      <c r="P32" s="8"/>
    </row>
    <row r="33" spans="2:16" ht="15" customHeight="1">
      <c r="B33" s="7"/>
      <c r="C33" s="131" t="s">
        <v>528</v>
      </c>
      <c r="D33" s="99"/>
      <c r="E33" s="67" t="s">
        <v>19</v>
      </c>
      <c r="F33" s="67"/>
      <c r="G33" s="67"/>
      <c r="H33" s="67"/>
      <c r="I33" s="67"/>
      <c r="J33" s="67" t="s">
        <v>20</v>
      </c>
      <c r="L33" s="8"/>
      <c r="M33" s="8"/>
      <c r="O33" s="5"/>
      <c r="P33" s="8"/>
    </row>
    <row r="34" spans="2:16" ht="15" customHeight="1">
      <c r="B34" s="7"/>
      <c r="C34" s="198" t="s">
        <v>529</v>
      </c>
      <c r="D34" s="198"/>
      <c r="E34" s="68" t="s">
        <v>22</v>
      </c>
      <c r="F34" s="67"/>
      <c r="G34" s="67"/>
      <c r="H34" s="67"/>
      <c r="I34" s="67"/>
      <c r="J34" s="68" t="s">
        <v>23</v>
      </c>
      <c r="L34" s="8"/>
      <c r="M34" s="8"/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8"/>
      <c r="M35" s="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8"/>
      <c r="M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8"/>
      <c r="M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8"/>
      <c r="M38" s="8"/>
    </row>
    <row r="39" spans="2:16">
      <c r="C39" s="68"/>
      <c r="D39" s="68"/>
      <c r="E39" s="67"/>
      <c r="F39" s="67"/>
      <c r="G39" s="67"/>
      <c r="H39" s="67"/>
      <c r="I39" s="67"/>
      <c r="J39" s="67"/>
      <c r="L39" s="8"/>
      <c r="M39" s="8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8"/>
      <c r="M40" s="8"/>
    </row>
    <row r="41" spans="2:16" ht="16.5">
      <c r="B41" s="5"/>
      <c r="C41" s="198" t="s">
        <v>21</v>
      </c>
      <c r="D41" s="198"/>
      <c r="E41" s="67"/>
      <c r="F41" s="67"/>
      <c r="G41" s="67"/>
      <c r="H41" s="67"/>
      <c r="I41" s="67"/>
      <c r="J41" s="72" t="s">
        <v>27</v>
      </c>
      <c r="L41" s="8"/>
      <c r="M41" s="100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8">
    <mergeCell ref="B42:C42"/>
    <mergeCell ref="C5:E5"/>
    <mergeCell ref="K26:K27"/>
    <mergeCell ref="L26:L27"/>
    <mergeCell ref="C34:D34"/>
    <mergeCell ref="C41:D41"/>
    <mergeCell ref="B26:B27"/>
    <mergeCell ref="C26:C27"/>
    <mergeCell ref="D26:E27"/>
    <mergeCell ref="F26:G27"/>
    <mergeCell ref="J26:J27"/>
    <mergeCell ref="D10:E10"/>
    <mergeCell ref="F10:G10"/>
    <mergeCell ref="B1:F1"/>
    <mergeCell ref="G1:J1"/>
    <mergeCell ref="C3:E3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F90B32-EBFD-4D0F-8018-46710CFCBF86}">
  <sheetPr codeName="Sheet8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519</v>
      </c>
      <c r="D3" s="187"/>
      <c r="E3" s="187"/>
      <c r="F3" s="10" t="s">
        <v>3</v>
      </c>
      <c r="G3" s="10"/>
      <c r="H3" s="10"/>
      <c r="I3" s="10"/>
      <c r="J3" s="75">
        <v>163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1" t="s">
        <v>7</v>
      </c>
      <c r="C5" s="79" t="s">
        <v>256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526</v>
      </c>
      <c r="E11" s="194"/>
      <c r="F11" s="45">
        <v>27072</v>
      </c>
      <c r="G11" s="76"/>
      <c r="H11" s="47"/>
      <c r="I11" s="48"/>
      <c r="J11" s="50">
        <f>F11*B11</f>
        <v>1082880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1082880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26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48F95-D100-42D8-A163-D0A7B960D322}">
  <sheetPr codeName="Sheet9">
    <tabColor rgb="FF00B0F0"/>
  </sheetPr>
  <dimension ref="A1:P45"/>
  <sheetViews>
    <sheetView view="pageBreakPreview" topLeftCell="A4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519</v>
      </c>
      <c r="D3" s="187"/>
      <c r="E3" s="187"/>
      <c r="F3" s="10" t="s">
        <v>3</v>
      </c>
      <c r="G3" s="10"/>
      <c r="H3" s="10"/>
      <c r="I3" s="10"/>
      <c r="J3" s="75">
        <v>162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1" t="s">
        <v>7</v>
      </c>
      <c r="C5" s="79" t="s">
        <v>525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523</v>
      </c>
      <c r="E11" s="194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2139680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26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82020-451F-406B-8A34-817E6DD032BB}">
  <sheetPr codeName="Sheet10">
    <tabColor rgb="FF00B0F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519</v>
      </c>
      <c r="D3" s="187"/>
      <c r="E3" s="187"/>
      <c r="F3" s="10" t="s">
        <v>3</v>
      </c>
      <c r="G3" s="10"/>
      <c r="H3" s="10"/>
      <c r="I3" s="10"/>
      <c r="J3" s="75">
        <v>161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1" t="s">
        <v>7</v>
      </c>
      <c r="C5" s="79" t="s">
        <v>524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523</v>
      </c>
      <c r="E11" s="194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2139680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131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7A3BCE-3EE8-45BA-B7BC-6963DA84C890}">
  <sheetPr codeName="Sheet11">
    <tabColor rgb="FF00B0F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519</v>
      </c>
      <c r="D3" s="187"/>
      <c r="E3" s="187"/>
      <c r="F3" s="10" t="s">
        <v>3</v>
      </c>
      <c r="G3" s="10"/>
      <c r="H3" s="10"/>
      <c r="I3" s="10"/>
      <c r="J3" s="75">
        <v>160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522</v>
      </c>
      <c r="E11" s="194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>
        <f>F18*B18</f>
        <v>0</v>
      </c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>
        <f>F19*B19</f>
        <v>0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2139680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22383-7327-4ACA-8BBE-488750B6E048}">
  <sheetPr codeName="Sheet12">
    <tabColor rgb="FF00B0F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519</v>
      </c>
      <c r="D3" s="187"/>
      <c r="E3" s="187"/>
      <c r="F3" s="10" t="s">
        <v>3</v>
      </c>
      <c r="G3" s="10"/>
      <c r="H3" s="10"/>
      <c r="I3" s="10"/>
      <c r="J3" s="75">
        <v>159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1" t="s">
        <v>7</v>
      </c>
      <c r="C5" s="79" t="s">
        <v>520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521</v>
      </c>
      <c r="E11" s="194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>
        <f>F18*B18</f>
        <v>0</v>
      </c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>
        <f>F19*B19</f>
        <v>0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2139680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131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9910A-6DF2-4299-B13B-4EF16DFE3E28}">
  <sheetPr>
    <tabColor rgb="FFC00000"/>
  </sheetPr>
  <dimension ref="A1:P45"/>
  <sheetViews>
    <sheetView view="pageBreakPreview" zoomScale="90" zoomScaleNormal="100" zoomScaleSheetLayoutView="90" workbookViewId="0">
      <selection activeCell="D17" sqref="D1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692</v>
      </c>
      <c r="D3" s="188"/>
      <c r="E3" s="188"/>
      <c r="F3" s="10" t="s">
        <v>3</v>
      </c>
      <c r="G3" s="10"/>
      <c r="H3" s="10"/>
      <c r="I3" s="10"/>
      <c r="J3" s="75">
        <v>212</v>
      </c>
      <c r="O3" s="4"/>
    </row>
    <row r="4" spans="1:16" s="3" customFormat="1" ht="30" customHeight="1">
      <c r="B4" s="11" t="s">
        <v>5</v>
      </c>
      <c r="C4" s="12" t="s">
        <v>693</v>
      </c>
      <c r="D4" s="13"/>
      <c r="E4" s="13"/>
      <c r="F4" s="14" t="s">
        <v>6</v>
      </c>
      <c r="G4" s="15"/>
      <c r="H4" s="15"/>
      <c r="I4" s="15"/>
      <c r="J4" s="16">
        <v>45474</v>
      </c>
      <c r="L4" s="17"/>
      <c r="P4" s="4"/>
    </row>
    <row r="5" spans="1:16" s="3" customFormat="1" ht="30" customHeight="1">
      <c r="B5" s="11" t="s">
        <v>7</v>
      </c>
      <c r="C5" s="79" t="s">
        <v>525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694</v>
      </c>
      <c r="E11" s="4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695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696</v>
      </c>
      <c r="E13" s="44"/>
      <c r="F13" s="45">
        <v>4000</v>
      </c>
      <c r="G13" s="76"/>
      <c r="H13" s="47"/>
      <c r="I13" s="48"/>
      <c r="J13" s="50">
        <f>F13*3</f>
        <v>12000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12000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1:F1"/>
    <mergeCell ref="G1:J1"/>
    <mergeCell ref="C3:E3"/>
    <mergeCell ref="D9:E9"/>
    <mergeCell ref="F9:H9"/>
    <mergeCell ref="D10:E10"/>
    <mergeCell ref="F10:G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CC0AA1-34A6-4FDB-B87C-428921FD5F5D}">
  <sheetPr codeName="Sheet13">
    <tabColor rgb="FF00B0F0"/>
  </sheetPr>
  <dimension ref="A1:P62"/>
  <sheetViews>
    <sheetView view="pageBreakPreview" zoomScale="90" zoomScaleNormal="100" zoomScaleSheetLayoutView="90" workbookViewId="0">
      <selection activeCell="D43" sqref="D43:E4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158</v>
      </c>
      <c r="L3" s="4"/>
      <c r="O3" s="4"/>
    </row>
    <row r="4" spans="1:16" s="3" customFormat="1" ht="30" customHeight="1">
      <c r="B4" s="11" t="s">
        <v>5</v>
      </c>
      <c r="C4" s="12" t="s">
        <v>482</v>
      </c>
      <c r="D4" s="13"/>
      <c r="E4" s="13"/>
      <c r="F4" s="14" t="s">
        <v>6</v>
      </c>
      <c r="G4" s="15"/>
      <c r="H4" s="15"/>
      <c r="I4" s="15"/>
      <c r="J4" s="16">
        <v>45434</v>
      </c>
      <c r="L4" s="4"/>
      <c r="P4" s="4"/>
    </row>
    <row r="5" spans="1:16" s="3" customFormat="1" ht="30" customHeight="1">
      <c r="B5" s="11" t="s">
        <v>7</v>
      </c>
      <c r="C5" s="183" t="s">
        <v>512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137</v>
      </c>
      <c r="C11" s="42" t="s">
        <v>137</v>
      </c>
      <c r="D11" s="98" t="s">
        <v>493</v>
      </c>
      <c r="E11" s="44"/>
      <c r="F11" s="45">
        <v>175</v>
      </c>
      <c r="G11" s="46"/>
      <c r="H11" s="47"/>
      <c r="I11" s="48"/>
      <c r="J11" s="50">
        <f>F11*B11</f>
        <v>23975</v>
      </c>
      <c r="L11" s="4"/>
      <c r="M11" s="1"/>
      <c r="N11" s="1"/>
      <c r="O11" s="4"/>
    </row>
    <row r="12" spans="1:16" s="3" customFormat="1" ht="20.100000000000001" customHeight="1">
      <c r="B12" s="41">
        <v>453</v>
      </c>
      <c r="C12" s="42" t="s">
        <v>137</v>
      </c>
      <c r="D12" s="98" t="s">
        <v>494</v>
      </c>
      <c r="E12" s="44"/>
      <c r="F12" s="45">
        <v>120</v>
      </c>
      <c r="G12" s="46"/>
      <c r="H12" s="47"/>
      <c r="I12" s="48"/>
      <c r="J12" s="50">
        <f t="shared" ref="J12:J42" si="0">F12*B12</f>
        <v>54360</v>
      </c>
      <c r="L12" s="4"/>
      <c r="M12" s="1"/>
      <c r="N12" s="1"/>
      <c r="O12" s="4"/>
    </row>
    <row r="13" spans="1:16" s="3" customFormat="1" ht="20.100000000000001" customHeight="1">
      <c r="B13" s="41">
        <v>18</v>
      </c>
      <c r="C13" s="42" t="s">
        <v>137</v>
      </c>
      <c r="D13" s="98" t="s">
        <v>495</v>
      </c>
      <c r="E13" s="44"/>
      <c r="F13" s="45">
        <v>465</v>
      </c>
      <c r="G13" s="89"/>
      <c r="H13" s="47"/>
      <c r="I13" s="48"/>
      <c r="J13" s="50">
        <f t="shared" si="0"/>
        <v>8370</v>
      </c>
      <c r="L13" s="93"/>
      <c r="M13" s="5"/>
      <c r="O13" s="90"/>
      <c r="P13" s="49"/>
    </row>
    <row r="14" spans="1:16" s="3" customFormat="1" ht="20.100000000000001" customHeight="1">
      <c r="B14" s="41">
        <v>50</v>
      </c>
      <c r="C14" s="42" t="s">
        <v>137</v>
      </c>
      <c r="D14" s="98" t="s">
        <v>496</v>
      </c>
      <c r="E14" s="44"/>
      <c r="F14" s="45">
        <v>235</v>
      </c>
      <c r="G14" s="89"/>
      <c r="H14" s="47"/>
      <c r="I14" s="48"/>
      <c r="J14" s="50">
        <f t="shared" si="0"/>
        <v>11750</v>
      </c>
      <c r="L14" s="93"/>
      <c r="M14" s="5"/>
      <c r="O14" s="90"/>
      <c r="P14" s="49"/>
    </row>
    <row r="15" spans="1:16" s="3" customFormat="1" ht="20.100000000000001" customHeight="1">
      <c r="B15" s="41">
        <v>42</v>
      </c>
      <c r="C15" s="42" t="s">
        <v>137</v>
      </c>
      <c r="D15" s="98" t="s">
        <v>483</v>
      </c>
      <c r="E15" s="44"/>
      <c r="F15" s="45">
        <v>200</v>
      </c>
      <c r="G15" s="76"/>
      <c r="H15" s="47"/>
      <c r="I15" s="48"/>
      <c r="J15" s="50">
        <f t="shared" si="0"/>
        <v>8400</v>
      </c>
      <c r="L15" s="4"/>
      <c r="M15" s="1"/>
      <c r="N15" s="1"/>
      <c r="O15" s="4"/>
      <c r="P15" s="49"/>
    </row>
    <row r="16" spans="1:16" s="3" customFormat="1" ht="20.100000000000001" customHeight="1">
      <c r="B16" s="41">
        <v>11</v>
      </c>
      <c r="C16" s="42" t="s">
        <v>137</v>
      </c>
      <c r="D16" s="98" t="s">
        <v>484</v>
      </c>
      <c r="E16" s="44"/>
      <c r="F16" s="45">
        <v>200</v>
      </c>
      <c r="G16" s="89"/>
      <c r="H16" s="47"/>
      <c r="I16" s="48"/>
      <c r="J16" s="50">
        <f t="shared" si="0"/>
        <v>2200</v>
      </c>
      <c r="L16" s="4"/>
      <c r="M16" s="1"/>
      <c r="N16" s="1"/>
      <c r="O16" s="4"/>
    </row>
    <row r="17" spans="1:16" s="3" customFormat="1" ht="20.100000000000001" customHeight="1">
      <c r="B17" s="41">
        <v>53</v>
      </c>
      <c r="C17" s="42" t="s">
        <v>486</v>
      </c>
      <c r="D17" s="98" t="s">
        <v>485</v>
      </c>
      <c r="E17" s="44"/>
      <c r="F17" s="45">
        <v>180</v>
      </c>
      <c r="G17" s="46"/>
      <c r="H17" s="47"/>
      <c r="I17" s="48"/>
      <c r="J17" s="50">
        <f t="shared" si="0"/>
        <v>9540</v>
      </c>
      <c r="L17" s="93"/>
      <c r="M17" s="5"/>
      <c r="O17" s="90"/>
      <c r="P17" s="49"/>
    </row>
    <row r="18" spans="1:16" s="3" customFormat="1" ht="20.100000000000001" customHeight="1">
      <c r="B18" s="41">
        <v>18</v>
      </c>
      <c r="C18" s="42" t="s">
        <v>487</v>
      </c>
      <c r="D18" s="43" t="s">
        <v>345</v>
      </c>
      <c r="E18" s="44"/>
      <c r="F18" s="45">
        <v>80</v>
      </c>
      <c r="G18" s="46"/>
      <c r="H18" s="47"/>
      <c r="I18" s="48"/>
      <c r="J18" s="50">
        <f t="shared" si="0"/>
        <v>1440</v>
      </c>
      <c r="L18" s="93"/>
      <c r="M18" s="5"/>
      <c r="O18" s="90"/>
      <c r="P18" s="49"/>
    </row>
    <row r="19" spans="1:16" s="3" customFormat="1" ht="20.100000000000001" customHeight="1">
      <c r="B19" s="41">
        <v>13</v>
      </c>
      <c r="C19" s="42" t="s">
        <v>487</v>
      </c>
      <c r="D19" s="43" t="s">
        <v>346</v>
      </c>
      <c r="E19" s="44"/>
      <c r="F19" s="45">
        <v>75</v>
      </c>
      <c r="G19" s="46"/>
      <c r="H19" s="47"/>
      <c r="I19" s="48"/>
      <c r="J19" s="50">
        <f t="shared" si="0"/>
        <v>975</v>
      </c>
      <c r="L19" s="4"/>
      <c r="M19" s="1"/>
      <c r="N19" s="1"/>
      <c r="O19" s="4"/>
    </row>
    <row r="20" spans="1:16" s="3" customFormat="1" ht="20.100000000000001" customHeight="1">
      <c r="B20" s="41">
        <v>5</v>
      </c>
      <c r="C20" s="42" t="s">
        <v>487</v>
      </c>
      <c r="D20" s="43" t="s">
        <v>488</v>
      </c>
      <c r="E20" s="44"/>
      <c r="F20" s="45">
        <v>90</v>
      </c>
      <c r="G20" s="46"/>
      <c r="H20" s="47"/>
      <c r="I20" s="48"/>
      <c r="J20" s="50">
        <f t="shared" si="0"/>
        <v>450</v>
      </c>
      <c r="L20" s="4"/>
      <c r="M20" s="5"/>
      <c r="N20" s="56"/>
      <c r="O20" s="4"/>
    </row>
    <row r="21" spans="1:16" s="3" customFormat="1" ht="20.100000000000001" customHeight="1">
      <c r="B21" s="41">
        <v>6</v>
      </c>
      <c r="C21" s="42" t="s">
        <v>486</v>
      </c>
      <c r="D21" s="43" t="s">
        <v>489</v>
      </c>
      <c r="E21" s="44"/>
      <c r="F21" s="45">
        <v>50</v>
      </c>
      <c r="G21" s="46"/>
      <c r="H21" s="47"/>
      <c r="I21" s="48"/>
      <c r="J21" s="50">
        <f t="shared" si="0"/>
        <v>300</v>
      </c>
      <c r="L21" s="4"/>
      <c r="M21" s="5"/>
      <c r="O21" s="4"/>
    </row>
    <row r="22" spans="1:16" s="3" customFormat="1" ht="20.100000000000001" customHeight="1">
      <c r="B22" s="41">
        <v>6</v>
      </c>
      <c r="C22" s="42" t="s">
        <v>137</v>
      </c>
      <c r="D22" s="43" t="s">
        <v>490</v>
      </c>
      <c r="E22" s="44"/>
      <c r="F22" s="45">
        <v>40</v>
      </c>
      <c r="G22" s="46"/>
      <c r="H22" s="47"/>
      <c r="I22" s="48"/>
      <c r="J22" s="50">
        <f t="shared" si="0"/>
        <v>240</v>
      </c>
      <c r="L22" s="4"/>
      <c r="M22" s="5"/>
      <c r="O22" s="4"/>
    </row>
    <row r="23" spans="1:16" s="3" customFormat="1" ht="20.100000000000001" customHeight="1">
      <c r="B23" s="41">
        <v>5</v>
      </c>
      <c r="C23" s="42" t="s">
        <v>487</v>
      </c>
      <c r="D23" s="43" t="s">
        <v>497</v>
      </c>
      <c r="E23" s="44"/>
      <c r="F23" s="45">
        <v>100</v>
      </c>
      <c r="G23" s="46"/>
      <c r="H23" s="47"/>
      <c r="I23" s="48"/>
      <c r="J23" s="50">
        <f t="shared" si="0"/>
        <v>500</v>
      </c>
      <c r="L23" s="4"/>
      <c r="M23" s="5"/>
      <c r="O23" s="4"/>
    </row>
    <row r="24" spans="1:16" s="3" customFormat="1" ht="20.100000000000001" customHeight="1">
      <c r="B24" s="41">
        <v>43</v>
      </c>
      <c r="C24" s="42" t="s">
        <v>137</v>
      </c>
      <c r="D24" s="43" t="s">
        <v>498</v>
      </c>
      <c r="E24" s="44"/>
      <c r="F24" s="45">
        <v>300</v>
      </c>
      <c r="G24" s="46"/>
      <c r="H24" s="47"/>
      <c r="I24" s="48"/>
      <c r="J24" s="50">
        <f t="shared" si="0"/>
        <v>12900</v>
      </c>
      <c r="L24" s="4"/>
      <c r="M24" s="5"/>
      <c r="O24" s="4"/>
    </row>
    <row r="25" spans="1:16" s="3" customFormat="1" ht="20.100000000000001" customHeight="1">
      <c r="B25" s="41">
        <v>1</v>
      </c>
      <c r="C25" s="42" t="s">
        <v>500</v>
      </c>
      <c r="D25" s="43" t="s">
        <v>499</v>
      </c>
      <c r="E25" s="44"/>
      <c r="F25" s="45">
        <v>250</v>
      </c>
      <c r="G25" s="46"/>
      <c r="H25" s="47"/>
      <c r="I25" s="48"/>
      <c r="J25" s="50">
        <f t="shared" si="0"/>
        <v>250</v>
      </c>
      <c r="L25" s="4"/>
      <c r="M25" s="5"/>
      <c r="O25" s="4"/>
    </row>
    <row r="26" spans="1:16" s="3" customFormat="1" ht="20.100000000000001" customHeight="1">
      <c r="B26" s="41">
        <v>4</v>
      </c>
      <c r="C26" s="42" t="s">
        <v>137</v>
      </c>
      <c r="D26" s="43" t="s">
        <v>501</v>
      </c>
      <c r="E26" s="44"/>
      <c r="F26" s="45">
        <v>550</v>
      </c>
      <c r="G26" s="46"/>
      <c r="H26" s="47"/>
      <c r="I26" s="48"/>
      <c r="J26" s="50">
        <f t="shared" si="0"/>
        <v>2200</v>
      </c>
      <c r="L26" s="4"/>
      <c r="M26" s="5"/>
      <c r="O26" s="4"/>
    </row>
    <row r="27" spans="1:16" s="3" customFormat="1" ht="20.100000000000001" customHeight="1">
      <c r="B27" s="41">
        <v>120</v>
      </c>
      <c r="C27" s="42" t="s">
        <v>137</v>
      </c>
      <c r="D27" s="43" t="s">
        <v>502</v>
      </c>
      <c r="E27" s="44"/>
      <c r="F27" s="45">
        <v>10</v>
      </c>
      <c r="G27" s="46"/>
      <c r="H27" s="47"/>
      <c r="I27" s="48"/>
      <c r="J27" s="50">
        <f t="shared" si="0"/>
        <v>1200</v>
      </c>
      <c r="L27" s="4"/>
      <c r="M27" s="5"/>
      <c r="O27" s="4"/>
    </row>
    <row r="28" spans="1:16" s="3" customFormat="1" ht="20.100000000000001" customHeight="1">
      <c r="B28" s="41">
        <v>2</v>
      </c>
      <c r="C28" s="42" t="s">
        <v>137</v>
      </c>
      <c r="D28" s="43" t="s">
        <v>503</v>
      </c>
      <c r="E28" s="44"/>
      <c r="F28" s="45">
        <v>50</v>
      </c>
      <c r="G28" s="46"/>
      <c r="H28" s="47"/>
      <c r="I28" s="48"/>
      <c r="J28" s="50">
        <f t="shared" si="0"/>
        <v>100</v>
      </c>
      <c r="L28" s="4"/>
      <c r="M28" s="5"/>
      <c r="O28" s="4"/>
    </row>
    <row r="29" spans="1:16" s="3" customFormat="1" ht="20.100000000000001" customHeight="1">
      <c r="B29" s="41">
        <v>1</v>
      </c>
      <c r="C29" s="42" t="s">
        <v>137</v>
      </c>
      <c r="D29" s="132" t="s">
        <v>504</v>
      </c>
      <c r="E29" s="133"/>
      <c r="F29" s="119">
        <v>300</v>
      </c>
      <c r="G29" s="134"/>
      <c r="H29" s="135"/>
      <c r="I29" s="136"/>
      <c r="J29" s="50">
        <f t="shared" si="0"/>
        <v>300</v>
      </c>
      <c r="L29" s="4"/>
      <c r="M29" s="5"/>
      <c r="O29" s="4"/>
    </row>
    <row r="30" spans="1:16" s="137" customFormat="1" ht="20.100000000000001" customHeight="1">
      <c r="A30" s="3"/>
      <c r="B30" s="41">
        <v>1</v>
      </c>
      <c r="C30" s="42" t="s">
        <v>137</v>
      </c>
      <c r="D30" s="132" t="s">
        <v>505</v>
      </c>
      <c r="E30" s="133"/>
      <c r="F30" s="119">
        <v>200</v>
      </c>
      <c r="G30" s="134"/>
      <c r="H30" s="138"/>
      <c r="I30" s="139"/>
      <c r="J30" s="50">
        <f t="shared" si="0"/>
        <v>200</v>
      </c>
      <c r="L30" s="140"/>
      <c r="M30" s="141"/>
      <c r="O30" s="140"/>
    </row>
    <row r="31" spans="1:16" s="137" customFormat="1" ht="20.100000000000001" customHeight="1">
      <c r="A31" s="3"/>
      <c r="B31" s="41">
        <v>25</v>
      </c>
      <c r="C31" s="42" t="s">
        <v>137</v>
      </c>
      <c r="D31" s="132" t="s">
        <v>506</v>
      </c>
      <c r="E31" s="133"/>
      <c r="F31" s="119">
        <v>600</v>
      </c>
      <c r="G31" s="134"/>
      <c r="H31" s="138"/>
      <c r="I31" s="139"/>
      <c r="J31" s="50">
        <f t="shared" si="0"/>
        <v>15000</v>
      </c>
      <c r="L31" s="140"/>
      <c r="M31" s="141"/>
      <c r="O31" s="140"/>
    </row>
    <row r="32" spans="1:16" s="137" customFormat="1" ht="20.100000000000001" customHeight="1">
      <c r="A32" s="3"/>
      <c r="B32" s="41">
        <v>3</v>
      </c>
      <c r="C32" s="42" t="s">
        <v>444</v>
      </c>
      <c r="D32" s="132" t="s">
        <v>507</v>
      </c>
      <c r="E32" s="133"/>
      <c r="F32" s="119">
        <v>765</v>
      </c>
      <c r="G32" s="134"/>
      <c r="H32" s="138"/>
      <c r="I32" s="139"/>
      <c r="J32" s="50">
        <f t="shared" si="0"/>
        <v>2295</v>
      </c>
      <c r="L32" s="140"/>
      <c r="M32" s="141"/>
      <c r="O32" s="140"/>
    </row>
    <row r="33" spans="1:15" s="137" customFormat="1" ht="20.100000000000001" customHeight="1">
      <c r="A33" s="3"/>
      <c r="B33" s="41">
        <v>2</v>
      </c>
      <c r="C33" s="42" t="s">
        <v>137</v>
      </c>
      <c r="D33" s="132" t="s">
        <v>508</v>
      </c>
      <c r="E33" s="133"/>
      <c r="F33" s="119">
        <v>60</v>
      </c>
      <c r="G33" s="134"/>
      <c r="H33" s="138"/>
      <c r="I33" s="139"/>
      <c r="J33" s="50">
        <f t="shared" si="0"/>
        <v>120</v>
      </c>
      <c r="L33" s="140"/>
      <c r="M33" s="141"/>
      <c r="O33" s="140"/>
    </row>
    <row r="34" spans="1:15" s="137" customFormat="1" ht="20.100000000000001" customHeight="1">
      <c r="A34" s="3"/>
      <c r="B34" s="41">
        <v>2</v>
      </c>
      <c r="C34" s="42" t="s">
        <v>137</v>
      </c>
      <c r="D34" s="132" t="s">
        <v>509</v>
      </c>
      <c r="E34" s="133"/>
      <c r="F34" s="119">
        <v>105</v>
      </c>
      <c r="G34" s="134"/>
      <c r="H34" s="138"/>
      <c r="I34" s="139"/>
      <c r="J34" s="50">
        <f t="shared" si="0"/>
        <v>210</v>
      </c>
      <c r="L34" s="140"/>
      <c r="M34" s="141"/>
      <c r="O34" s="140"/>
    </row>
    <row r="35" spans="1:15" s="137" customFormat="1" ht="20.100000000000001" customHeight="1">
      <c r="A35" s="3"/>
      <c r="B35" s="41">
        <v>1</v>
      </c>
      <c r="C35" s="42" t="s">
        <v>137</v>
      </c>
      <c r="D35" s="132" t="s">
        <v>164</v>
      </c>
      <c r="E35" s="133"/>
      <c r="F35" s="119">
        <v>145</v>
      </c>
      <c r="G35" s="134"/>
      <c r="H35" s="138"/>
      <c r="I35" s="139"/>
      <c r="J35" s="50">
        <f t="shared" si="0"/>
        <v>145</v>
      </c>
      <c r="L35" s="140"/>
      <c r="M35" s="141"/>
      <c r="O35" s="140"/>
    </row>
    <row r="36" spans="1:15" s="137" customFormat="1" ht="20.100000000000001" customHeight="1">
      <c r="A36" s="3"/>
      <c r="B36" s="41">
        <v>2</v>
      </c>
      <c r="C36" s="42" t="s">
        <v>137</v>
      </c>
      <c r="D36" s="132" t="s">
        <v>510</v>
      </c>
      <c r="E36" s="133"/>
      <c r="F36" s="119">
        <v>60</v>
      </c>
      <c r="G36" s="134"/>
      <c r="H36" s="138"/>
      <c r="I36" s="139"/>
      <c r="J36" s="50">
        <f t="shared" si="0"/>
        <v>120</v>
      </c>
      <c r="L36" s="140"/>
      <c r="M36" s="141"/>
      <c r="O36" s="140"/>
    </row>
    <row r="37" spans="1:15" s="137" customFormat="1" ht="20.100000000000001" customHeight="1">
      <c r="A37" s="3"/>
      <c r="B37" s="41">
        <v>3</v>
      </c>
      <c r="C37" s="42" t="s">
        <v>387</v>
      </c>
      <c r="D37" s="132" t="s">
        <v>511</v>
      </c>
      <c r="E37" s="133"/>
      <c r="F37" s="119">
        <v>2280</v>
      </c>
      <c r="G37" s="134"/>
      <c r="H37" s="138"/>
      <c r="I37" s="139"/>
      <c r="J37" s="50">
        <f t="shared" si="0"/>
        <v>6840</v>
      </c>
      <c r="L37" s="140"/>
      <c r="M37" s="141"/>
      <c r="O37" s="140"/>
    </row>
    <row r="38" spans="1:15" s="137" customFormat="1" ht="20.100000000000001" customHeight="1">
      <c r="A38" s="3"/>
      <c r="B38" s="41">
        <v>3</v>
      </c>
      <c r="C38" s="42" t="s">
        <v>137</v>
      </c>
      <c r="D38" s="132" t="s">
        <v>514</v>
      </c>
      <c r="E38" s="133"/>
      <c r="F38" s="119">
        <v>50</v>
      </c>
      <c r="G38" s="134"/>
      <c r="H38" s="138"/>
      <c r="I38" s="139"/>
      <c r="J38" s="50">
        <f t="shared" si="0"/>
        <v>150</v>
      </c>
      <c r="L38" s="140"/>
      <c r="M38" s="141"/>
      <c r="O38" s="140"/>
    </row>
    <row r="39" spans="1:15" s="137" customFormat="1" ht="20.100000000000001" customHeight="1">
      <c r="A39" s="3"/>
      <c r="B39" s="41">
        <v>3</v>
      </c>
      <c r="C39" s="42" t="s">
        <v>137</v>
      </c>
      <c r="D39" s="132" t="s">
        <v>515</v>
      </c>
      <c r="E39" s="133"/>
      <c r="F39" s="119">
        <v>105</v>
      </c>
      <c r="G39" s="134"/>
      <c r="H39" s="138"/>
      <c r="I39" s="139"/>
      <c r="J39" s="50">
        <f t="shared" si="0"/>
        <v>315</v>
      </c>
      <c r="L39" s="140"/>
      <c r="M39" s="141"/>
      <c r="O39" s="140"/>
    </row>
    <row r="40" spans="1:15" s="137" customFormat="1" ht="20.100000000000001" customHeight="1">
      <c r="A40" s="3"/>
      <c r="B40" s="41">
        <v>3</v>
      </c>
      <c r="C40" s="42" t="s">
        <v>137</v>
      </c>
      <c r="D40" s="132" t="s">
        <v>516</v>
      </c>
      <c r="E40" s="133"/>
      <c r="F40" s="119">
        <v>45</v>
      </c>
      <c r="G40" s="134"/>
      <c r="H40" s="138"/>
      <c r="I40" s="139"/>
      <c r="J40" s="50">
        <f t="shared" si="0"/>
        <v>135</v>
      </c>
      <c r="L40" s="140"/>
      <c r="M40" s="141"/>
      <c r="O40" s="140"/>
    </row>
    <row r="41" spans="1:15" s="137" customFormat="1" ht="20.100000000000001" customHeight="1">
      <c r="A41" s="3"/>
      <c r="B41" s="41">
        <v>3</v>
      </c>
      <c r="C41" s="42" t="s">
        <v>137</v>
      </c>
      <c r="D41" s="132" t="s">
        <v>517</v>
      </c>
      <c r="E41" s="133"/>
      <c r="F41" s="119">
        <v>150</v>
      </c>
      <c r="G41" s="134"/>
      <c r="H41" s="138"/>
      <c r="I41" s="139"/>
      <c r="J41" s="50">
        <f t="shared" si="0"/>
        <v>450</v>
      </c>
      <c r="L41" s="140"/>
      <c r="M41" s="141"/>
      <c r="O41" s="140"/>
    </row>
    <row r="42" spans="1:15" s="137" customFormat="1" ht="20.100000000000001" customHeight="1">
      <c r="A42" s="3"/>
      <c r="B42" s="41">
        <v>1</v>
      </c>
      <c r="C42" s="42" t="s">
        <v>137</v>
      </c>
      <c r="D42" s="132" t="s">
        <v>518</v>
      </c>
      <c r="E42" s="133"/>
      <c r="F42" s="119">
        <v>55</v>
      </c>
      <c r="G42" s="134"/>
      <c r="H42" s="138"/>
      <c r="I42" s="139"/>
      <c r="J42" s="50">
        <f t="shared" si="0"/>
        <v>55</v>
      </c>
      <c r="L42" s="140"/>
      <c r="M42" s="141"/>
      <c r="O42" s="140"/>
    </row>
    <row r="43" spans="1:15" s="3" customFormat="1" ht="24" customHeight="1">
      <c r="B43" s="165"/>
      <c r="C43" s="167" t="s">
        <v>14</v>
      </c>
      <c r="D43" s="169" t="s">
        <v>513</v>
      </c>
      <c r="E43" s="170"/>
      <c r="F43" s="173" t="s">
        <v>15</v>
      </c>
      <c r="G43" s="174"/>
      <c r="H43" s="142"/>
      <c r="I43" s="142"/>
      <c r="J43" s="158">
        <f>SUM(J11:J42)</f>
        <v>165485</v>
      </c>
      <c r="K43" s="158"/>
      <c r="L43" s="189"/>
      <c r="M43" s="63"/>
      <c r="O43" s="4"/>
    </row>
    <row r="44" spans="1:15" s="3" customFormat="1" ht="19.5" customHeight="1">
      <c r="B44" s="166"/>
      <c r="C44" s="168"/>
      <c r="D44" s="171"/>
      <c r="E44" s="172"/>
      <c r="F44" s="175"/>
      <c r="G44" s="176"/>
      <c r="H44" s="62"/>
      <c r="I44" s="62"/>
      <c r="J44" s="159"/>
      <c r="K44" s="159"/>
      <c r="L44" s="190"/>
      <c r="M44" s="5"/>
      <c r="O44" s="4"/>
    </row>
    <row r="45" spans="1:15" ht="3.75" customHeight="1">
      <c r="A45" s="3"/>
      <c r="E45" s="64"/>
      <c r="F45" s="64"/>
    </row>
    <row r="46" spans="1:15" ht="3.75" customHeight="1">
      <c r="E46" s="64"/>
      <c r="F46" s="64"/>
    </row>
    <row r="47" spans="1:15">
      <c r="E47" s="65"/>
      <c r="F47" s="65"/>
      <c r="G47" s="65"/>
      <c r="H47" s="65"/>
      <c r="I47" s="65"/>
      <c r="J47" s="65"/>
      <c r="L47" s="5"/>
      <c r="M47" s="63"/>
    </row>
    <row r="48" spans="1:15">
      <c r="C48" s="66" t="s">
        <v>16</v>
      </c>
      <c r="D48" s="67"/>
      <c r="E48" s="67" t="s">
        <v>17</v>
      </c>
      <c r="F48" s="67"/>
      <c r="G48" s="68"/>
      <c r="H48" s="67"/>
      <c r="I48" s="67"/>
      <c r="J48" s="67" t="s">
        <v>18</v>
      </c>
      <c r="L48" s="5"/>
    </row>
    <row r="49" spans="2:16">
      <c r="B49" s="69"/>
      <c r="C49" s="67"/>
      <c r="D49" s="67"/>
      <c r="E49" s="67"/>
      <c r="F49" s="67"/>
      <c r="G49" s="68"/>
      <c r="H49" s="67"/>
      <c r="I49" s="67"/>
      <c r="J49" s="67"/>
      <c r="L49" s="5"/>
    </row>
    <row r="50" spans="2:16" ht="15" customHeight="1">
      <c r="B50" s="7"/>
      <c r="C50" s="131" t="s">
        <v>492</v>
      </c>
      <c r="D50" s="67"/>
      <c r="E50" s="67" t="s">
        <v>19</v>
      </c>
      <c r="F50" s="67"/>
      <c r="G50" s="67"/>
      <c r="H50" s="67"/>
      <c r="I50" s="67"/>
      <c r="J50" s="67" t="s">
        <v>20</v>
      </c>
      <c r="L50" s="5"/>
      <c r="M50" s="7"/>
    </row>
    <row r="51" spans="2:16">
      <c r="B51" s="7"/>
      <c r="C51" s="67" t="s">
        <v>491</v>
      </c>
      <c r="D51" s="66"/>
      <c r="E51" s="68" t="s">
        <v>22</v>
      </c>
      <c r="F51" s="67"/>
      <c r="G51" s="67"/>
      <c r="H51" s="67"/>
      <c r="I51" s="67"/>
      <c r="J51" s="68" t="s">
        <v>23</v>
      </c>
      <c r="L51" s="5"/>
      <c r="M51" s="70"/>
    </row>
    <row r="52" spans="2:16">
      <c r="B52" s="7"/>
      <c r="C52" s="67"/>
      <c r="D52" s="66"/>
      <c r="E52" s="68"/>
      <c r="F52" s="67"/>
      <c r="G52" s="67"/>
      <c r="H52" s="67"/>
      <c r="I52" s="67"/>
      <c r="J52" s="68"/>
      <c r="L52" s="5"/>
      <c r="M52" s="70"/>
    </row>
    <row r="53" spans="2:16">
      <c r="B53" s="7"/>
      <c r="C53" s="68"/>
      <c r="D53" s="68"/>
      <c r="E53" s="67"/>
      <c r="F53" s="67"/>
      <c r="G53" s="67"/>
      <c r="H53" s="67"/>
      <c r="I53" s="67"/>
      <c r="J53" s="67"/>
      <c r="L53" s="5"/>
      <c r="N53" s="70"/>
      <c r="O53" s="5"/>
      <c r="P53" s="8"/>
    </row>
    <row r="54" spans="2:16">
      <c r="B54" s="69"/>
      <c r="C54" s="67" t="s">
        <v>24</v>
      </c>
      <c r="D54" s="67"/>
      <c r="E54" s="67"/>
      <c r="F54" s="67"/>
      <c r="G54" s="68"/>
      <c r="H54" s="67"/>
      <c r="I54" s="67"/>
      <c r="J54" s="67" t="s">
        <v>25</v>
      </c>
      <c r="L54" s="5"/>
      <c r="O54" s="5"/>
      <c r="P54" s="8"/>
    </row>
    <row r="55" spans="2:16">
      <c r="B55" s="7"/>
      <c r="C55" s="68"/>
      <c r="D55" s="68"/>
      <c r="E55" s="67"/>
      <c r="F55" s="67"/>
      <c r="G55" s="67"/>
      <c r="H55" s="67"/>
      <c r="I55" s="67"/>
      <c r="J55" s="67"/>
      <c r="L55" s="5"/>
    </row>
    <row r="56" spans="2:16">
      <c r="C56" s="68"/>
      <c r="D56" s="68"/>
      <c r="E56" s="67"/>
      <c r="F56" s="67"/>
      <c r="G56" s="67"/>
      <c r="H56" s="67"/>
      <c r="I56" s="67"/>
      <c r="J56" s="67"/>
      <c r="L56" s="5"/>
    </row>
    <row r="57" spans="2:16" ht="15" customHeight="1">
      <c r="B57" s="7"/>
      <c r="C57" s="67" t="s">
        <v>26</v>
      </c>
      <c r="D57" s="67"/>
      <c r="E57" s="67"/>
      <c r="F57" s="67"/>
      <c r="G57" s="71"/>
      <c r="H57" s="71"/>
      <c r="I57" s="71"/>
      <c r="J57" s="71"/>
      <c r="L57" s="5"/>
    </row>
    <row r="58" spans="2:16" ht="16.5">
      <c r="B58" s="5"/>
      <c r="C58" s="67" t="s">
        <v>43</v>
      </c>
      <c r="D58" s="67"/>
      <c r="E58" s="67"/>
      <c r="F58" s="67"/>
      <c r="G58" s="67"/>
      <c r="H58" s="67"/>
      <c r="I58" s="67"/>
      <c r="J58" s="72" t="s">
        <v>27</v>
      </c>
      <c r="L58" s="5"/>
      <c r="M58" s="73"/>
    </row>
    <row r="59" spans="2:16">
      <c r="B59" s="160"/>
      <c r="C59" s="160"/>
      <c r="E59" s="7"/>
      <c r="F59" s="7"/>
      <c r="L59" s="5"/>
    </row>
    <row r="60" spans="2:16" ht="15.75" customHeight="1">
      <c r="L60" s="5"/>
    </row>
    <row r="62" spans="2:16" ht="15">
      <c r="M62" s="74"/>
    </row>
  </sheetData>
  <mergeCells count="16">
    <mergeCell ref="B1:F1"/>
    <mergeCell ref="G1:J1"/>
    <mergeCell ref="C3:E3"/>
    <mergeCell ref="C5:E5"/>
    <mergeCell ref="D9:E9"/>
    <mergeCell ref="F9:H9"/>
    <mergeCell ref="J43:J44"/>
    <mergeCell ref="K43:K44"/>
    <mergeCell ref="L43:L44"/>
    <mergeCell ref="B59:C59"/>
    <mergeCell ref="D10:E10"/>
    <mergeCell ref="F10:G10"/>
    <mergeCell ref="B43:B44"/>
    <mergeCell ref="C43:C44"/>
    <mergeCell ref="D43:E44"/>
    <mergeCell ref="F43:G44"/>
  </mergeCells>
  <phoneticPr fontId="43" type="noConversion"/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DA0760-8B9C-4AAE-B0F9-6A98C7412E7D}">
  <sheetPr codeName="Sheet14">
    <tabColor rgb="FF00B0F0"/>
  </sheetPr>
  <dimension ref="A1:P44"/>
  <sheetViews>
    <sheetView view="pageBreakPreview" topLeftCell="A4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157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45411</v>
      </c>
      <c r="L4" s="4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30</v>
      </c>
      <c r="C11" s="42" t="s">
        <v>137</v>
      </c>
      <c r="D11" s="98" t="s">
        <v>288</v>
      </c>
      <c r="E11" s="44"/>
      <c r="F11" s="45">
        <v>175</v>
      </c>
      <c r="G11" s="46"/>
      <c r="H11" s="47"/>
      <c r="I11" s="48"/>
      <c r="J11" s="50">
        <f>F11*B11</f>
        <v>5250</v>
      </c>
      <c r="L11" s="4"/>
      <c r="M11" s="1"/>
      <c r="N11" s="1"/>
      <c r="O11" s="4"/>
    </row>
    <row r="12" spans="1:16" s="3" customFormat="1" ht="20.100000000000001" customHeight="1">
      <c r="B12" s="41">
        <v>20</v>
      </c>
      <c r="C12" s="42" t="s">
        <v>137</v>
      </c>
      <c r="D12" s="98" t="s">
        <v>292</v>
      </c>
      <c r="E12" s="44"/>
      <c r="F12" s="45">
        <v>120</v>
      </c>
      <c r="G12" s="46"/>
      <c r="H12" s="47"/>
      <c r="I12" s="48"/>
      <c r="J12" s="50">
        <f>F12*B12</f>
        <v>2400</v>
      </c>
      <c r="L12" s="4"/>
      <c r="M12" s="1"/>
      <c r="N12" s="1"/>
      <c r="O12" s="4"/>
    </row>
    <row r="13" spans="1:16" s="3" customFormat="1" ht="20.100000000000001" customHeight="1">
      <c r="B13" s="41">
        <v>2</v>
      </c>
      <c r="C13" s="42" t="s">
        <v>478</v>
      </c>
      <c r="D13" s="98" t="s">
        <v>479</v>
      </c>
      <c r="E13" s="44"/>
      <c r="F13" s="45">
        <v>70</v>
      </c>
      <c r="G13" s="89"/>
      <c r="H13" s="47"/>
      <c r="I13" s="48"/>
      <c r="J13" s="50">
        <f>F13*B13</f>
        <v>140</v>
      </c>
      <c r="L13" s="93"/>
      <c r="M13" s="5"/>
      <c r="O13" s="90"/>
      <c r="P13" s="49"/>
    </row>
    <row r="14" spans="1:16" s="3" customFormat="1" ht="20.100000000000001" customHeight="1">
      <c r="B14" s="41">
        <v>1</v>
      </c>
      <c r="C14" s="42" t="s">
        <v>480</v>
      </c>
      <c r="D14" s="98" t="s">
        <v>481</v>
      </c>
      <c r="E14" s="44"/>
      <c r="F14" s="45">
        <v>86</v>
      </c>
      <c r="G14" s="76"/>
      <c r="H14" s="47"/>
      <c r="I14" s="48"/>
      <c r="J14" s="50">
        <f>F14*B14</f>
        <v>86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1</v>
      </c>
      <c r="C15" s="42" t="s">
        <v>444</v>
      </c>
      <c r="D15" s="98" t="s">
        <v>344</v>
      </c>
      <c r="E15" s="44"/>
      <c r="F15" s="45">
        <v>450</v>
      </c>
      <c r="G15" s="89"/>
      <c r="H15" s="47"/>
      <c r="I15" s="48"/>
      <c r="J15" s="50">
        <f>F15*B15</f>
        <v>450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5"/>
      <c r="C25" s="167" t="s">
        <v>14</v>
      </c>
      <c r="D25" s="169" t="s">
        <v>347</v>
      </c>
      <c r="E25" s="170"/>
      <c r="F25" s="173" t="s">
        <v>15</v>
      </c>
      <c r="G25" s="174"/>
      <c r="H25" s="62"/>
      <c r="I25" s="62"/>
      <c r="J25" s="158">
        <f>SUM(J11:J24)</f>
        <v>8326</v>
      </c>
      <c r="K25" s="158"/>
      <c r="L25" s="189"/>
      <c r="M25" s="63"/>
      <c r="O25" s="4"/>
    </row>
    <row r="26" spans="2:16" s="3" customFormat="1" ht="19.5" customHeight="1">
      <c r="B26" s="166"/>
      <c r="C26" s="168"/>
      <c r="D26" s="171"/>
      <c r="E26" s="172"/>
      <c r="F26" s="175"/>
      <c r="G26" s="176"/>
      <c r="H26" s="62"/>
      <c r="I26" s="62"/>
      <c r="J26" s="159"/>
      <c r="K26" s="159"/>
      <c r="L26" s="190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19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42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0"/>
      <c r="C41" s="160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6D9F59-D8CC-422E-A29D-6BDC9D2D1679}">
  <sheetPr codeName="Sheet15">
    <tabColor rgb="FF0070C0"/>
  </sheetPr>
  <dimension ref="A1:P50"/>
  <sheetViews>
    <sheetView view="pageBreakPreview" zoomScale="80" zoomScaleNormal="100" zoomScaleSheetLayoutView="8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156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467</v>
      </c>
      <c r="D4" s="13"/>
      <c r="E4" s="13"/>
      <c r="F4" s="14" t="s">
        <v>6</v>
      </c>
      <c r="G4" s="15"/>
      <c r="H4" s="15"/>
      <c r="I4" s="15"/>
      <c r="J4" s="16">
        <v>45411</v>
      </c>
      <c r="L4" s="103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104"/>
      <c r="P9" s="34"/>
    </row>
    <row r="10" spans="1:16" s="3" customFormat="1" ht="20.100000000000001" customHeight="1">
      <c r="B10" s="41"/>
      <c r="C10" s="42"/>
      <c r="D10" s="3" t="s">
        <v>464</v>
      </c>
      <c r="E10" s="44"/>
      <c r="F10" s="45"/>
      <c r="G10" s="76"/>
      <c r="H10" s="47"/>
      <c r="I10" s="48"/>
      <c r="J10" s="50">
        <v>7000</v>
      </c>
      <c r="M10" s="5"/>
      <c r="O10" s="4"/>
    </row>
    <row r="11" spans="1:16" s="3" customFormat="1" ht="20.100000000000001" customHeight="1">
      <c r="B11" s="41"/>
      <c r="C11" s="42"/>
      <c r="D11" s="82" t="s">
        <v>465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>
        <f>J10-J12</f>
        <v>7000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>
        <f>J14-J16</f>
        <v>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5"/>
      <c r="C24" s="167" t="s">
        <v>14</v>
      </c>
      <c r="D24" s="169"/>
      <c r="E24" s="170"/>
      <c r="F24" s="173" t="s">
        <v>15</v>
      </c>
      <c r="G24" s="174"/>
      <c r="H24" s="62"/>
      <c r="I24" s="62"/>
      <c r="J24" s="158">
        <f>SUM(J10:J23)</f>
        <v>7000</v>
      </c>
      <c r="M24" s="63"/>
      <c r="O24" s="4"/>
    </row>
    <row r="25" spans="2:15" s="3" customFormat="1" ht="19.5" customHeight="1">
      <c r="B25" s="166"/>
      <c r="C25" s="168"/>
      <c r="D25" s="171"/>
      <c r="E25" s="172"/>
      <c r="F25" s="175"/>
      <c r="G25" s="176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0"/>
      <c r="C40" s="160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F3B3BF-75B9-4084-8216-9D2F3D11126A}">
  <sheetPr codeName="Sheet16">
    <tabColor rgb="FF00B0F0"/>
  </sheetPr>
  <dimension ref="A1:P52"/>
  <sheetViews>
    <sheetView view="pageBreakPreview" topLeftCell="A33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309</v>
      </c>
      <c r="D3" s="187"/>
      <c r="E3" s="187"/>
      <c r="F3" s="10" t="s">
        <v>3</v>
      </c>
      <c r="G3" s="10"/>
      <c r="H3" s="10"/>
      <c r="I3" s="10"/>
      <c r="J3" s="75">
        <v>155</v>
      </c>
      <c r="L3" s="4"/>
      <c r="O3" s="4"/>
    </row>
    <row r="4" spans="1:16" s="3" customFormat="1" ht="30" customHeight="1">
      <c r="B4" s="11" t="s">
        <v>5</v>
      </c>
      <c r="C4" s="12" t="s">
        <v>310</v>
      </c>
      <c r="D4" s="13"/>
      <c r="E4" s="13"/>
      <c r="F4" s="14" t="s">
        <v>6</v>
      </c>
      <c r="G4" s="15"/>
      <c r="H4" s="15"/>
      <c r="I4" s="15"/>
      <c r="J4" s="16">
        <v>45419</v>
      </c>
      <c r="L4" s="4"/>
      <c r="P4" s="4"/>
    </row>
    <row r="5" spans="1:16" s="3" customFormat="1" ht="30" customHeight="1">
      <c r="B5" s="11" t="s">
        <v>7</v>
      </c>
      <c r="C5" s="183" t="s">
        <v>524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311</v>
      </c>
      <c r="D11" s="98" t="s">
        <v>312</v>
      </c>
      <c r="E11" s="44"/>
      <c r="F11" s="45">
        <v>3008</v>
      </c>
      <c r="G11" s="46"/>
      <c r="H11" s="47"/>
      <c r="I11" s="48"/>
      <c r="J11" s="50">
        <f>F11*B11</f>
        <v>3008</v>
      </c>
      <c r="L11" s="4"/>
      <c r="M11" s="1"/>
      <c r="N11" s="1"/>
      <c r="O11" s="4"/>
    </row>
    <row r="12" spans="1:16" s="3" customFormat="1" ht="20.100000000000001" customHeight="1">
      <c r="B12" s="41">
        <v>3</v>
      </c>
      <c r="C12" s="42" t="s">
        <v>311</v>
      </c>
      <c r="D12" s="98" t="s">
        <v>313</v>
      </c>
      <c r="E12" s="44"/>
      <c r="F12" s="45">
        <v>9300</v>
      </c>
      <c r="G12" s="46"/>
      <c r="H12" s="47"/>
      <c r="I12" s="48"/>
      <c r="J12" s="50">
        <f>F12*B12</f>
        <v>27900</v>
      </c>
      <c r="L12" s="4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50"/>
      <c r="L28" s="4"/>
      <c r="M28" s="5"/>
      <c r="O28" s="4"/>
    </row>
    <row r="29" spans="2:16" s="3" customFormat="1" ht="20.100000000000001" customHeight="1">
      <c r="B29" s="41"/>
      <c r="C29" s="42"/>
      <c r="D29" s="43"/>
      <c r="E29" s="44"/>
      <c r="F29" s="45"/>
      <c r="G29" s="46"/>
      <c r="H29" s="47"/>
      <c r="I29" s="48"/>
      <c r="J29" s="50"/>
      <c r="L29" s="4"/>
      <c r="M29" s="5"/>
      <c r="O29" s="4"/>
    </row>
    <row r="30" spans="2:16" s="3" customFormat="1" ht="20.100000000000001" customHeight="1">
      <c r="B30" s="41"/>
      <c r="C30" s="42"/>
      <c r="D30" s="43"/>
      <c r="E30" s="44"/>
      <c r="F30" s="45"/>
      <c r="G30" s="46"/>
      <c r="H30" s="47"/>
      <c r="I30" s="48"/>
      <c r="J30" s="50"/>
      <c r="L30" s="4"/>
      <c r="M30" s="5"/>
      <c r="O30" s="4"/>
    </row>
    <row r="31" spans="2:16" s="3" customFormat="1" ht="20.100000000000001" customHeight="1">
      <c r="B31" s="41"/>
      <c r="C31" s="42"/>
      <c r="D31" s="43"/>
      <c r="E31" s="44"/>
      <c r="F31" s="45"/>
      <c r="G31" s="46"/>
      <c r="H31" s="47"/>
      <c r="I31" s="48"/>
      <c r="J31" s="50"/>
      <c r="L31" s="4"/>
      <c r="M31" s="5"/>
      <c r="O31" s="4"/>
    </row>
    <row r="32" spans="2:16" s="3" customFormat="1" ht="20.100000000000001" customHeight="1">
      <c r="B32" s="41"/>
      <c r="C32" s="42"/>
      <c r="D32" s="43"/>
      <c r="E32" s="44"/>
      <c r="F32" s="45"/>
      <c r="G32" s="46"/>
      <c r="H32" s="47"/>
      <c r="I32" s="48"/>
      <c r="J32" s="61"/>
      <c r="L32" s="4"/>
      <c r="M32" s="5"/>
      <c r="O32" s="4"/>
    </row>
    <row r="33" spans="2:16" s="3" customFormat="1" ht="24" customHeight="1">
      <c r="B33" s="165"/>
      <c r="C33" s="167" t="s">
        <v>14</v>
      </c>
      <c r="D33" s="169" t="s">
        <v>466</v>
      </c>
      <c r="E33" s="170"/>
      <c r="F33" s="173" t="s">
        <v>15</v>
      </c>
      <c r="G33" s="174"/>
      <c r="H33" s="62"/>
      <c r="I33" s="62"/>
      <c r="J33" s="158">
        <f>SUM(J11:J32)</f>
        <v>30908</v>
      </c>
      <c r="K33" s="158"/>
      <c r="L33" s="189">
        <f>28100-30908</f>
        <v>-2808</v>
      </c>
      <c r="M33" s="63"/>
      <c r="O33" s="4"/>
    </row>
    <row r="34" spans="2:16" s="3" customFormat="1" ht="19.5" customHeight="1">
      <c r="B34" s="166"/>
      <c r="C34" s="168"/>
      <c r="D34" s="171"/>
      <c r="E34" s="172"/>
      <c r="F34" s="175"/>
      <c r="G34" s="176"/>
      <c r="H34" s="62"/>
      <c r="I34" s="62"/>
      <c r="J34" s="159"/>
      <c r="K34" s="159"/>
      <c r="L34" s="190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8" t="s">
        <v>21</v>
      </c>
      <c r="D41" s="198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/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8" t="s">
        <v>21</v>
      </c>
      <c r="D48" s="198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60"/>
      <c r="C49" s="160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J33:J34"/>
    <mergeCell ref="K33:K34"/>
    <mergeCell ref="L33:L34"/>
    <mergeCell ref="C41:D41"/>
    <mergeCell ref="C48:D48"/>
    <mergeCell ref="B49:C49"/>
    <mergeCell ref="D10:E10"/>
    <mergeCell ref="F10:G10"/>
    <mergeCell ref="B33:B34"/>
    <mergeCell ref="C33:C34"/>
    <mergeCell ref="D33:E34"/>
    <mergeCell ref="F33:G34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DC9D2-7B98-4E06-AED2-B367F7835D73}">
  <sheetPr codeName="Sheet17">
    <tabColor rgb="FF0070C0"/>
  </sheetPr>
  <dimension ref="A1:P50"/>
  <sheetViews>
    <sheetView view="pageBreakPreview" zoomScale="80" zoomScaleNormal="100" zoomScaleSheetLayoutView="8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154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461</v>
      </c>
      <c r="D4" s="13"/>
      <c r="E4" s="13"/>
      <c r="F4" s="14" t="s">
        <v>6</v>
      </c>
      <c r="G4" s="15"/>
      <c r="H4" s="15"/>
      <c r="I4" s="15"/>
      <c r="J4" s="16">
        <v>45411</v>
      </c>
      <c r="L4" s="103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800</v>
      </c>
      <c r="C10" s="42" t="s">
        <v>280</v>
      </c>
      <c r="D10" s="3" t="s">
        <v>462</v>
      </c>
      <c r="E10" s="44"/>
      <c r="F10" s="45">
        <v>50</v>
      </c>
      <c r="G10" s="76"/>
      <c r="H10" s="47"/>
      <c r="I10" s="48"/>
      <c r="J10" s="50">
        <f>F10*B10</f>
        <v>40000</v>
      </c>
      <c r="M10" s="5"/>
      <c r="O10" s="4"/>
    </row>
    <row r="11" spans="1:16" s="3" customFormat="1" ht="20.100000000000001" customHeight="1">
      <c r="B11" s="41"/>
      <c r="C11" s="42"/>
      <c r="D11" s="82"/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>
        <f>J10-J12</f>
        <v>40000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>
        <f>J14-J16</f>
        <v>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5"/>
      <c r="C24" s="167" t="s">
        <v>14</v>
      </c>
      <c r="D24" s="169"/>
      <c r="E24" s="170"/>
      <c r="F24" s="173" t="s">
        <v>15</v>
      </c>
      <c r="G24" s="174"/>
      <c r="H24" s="62"/>
      <c r="I24" s="62"/>
      <c r="J24" s="158">
        <f>SUM(J10:J23)</f>
        <v>40000</v>
      </c>
      <c r="M24" s="63"/>
      <c r="O24" s="4"/>
    </row>
    <row r="25" spans="2:15" s="3" customFormat="1" ht="19.5" customHeight="1">
      <c r="B25" s="166"/>
      <c r="C25" s="168"/>
      <c r="D25" s="171"/>
      <c r="E25" s="172"/>
      <c r="F25" s="175"/>
      <c r="G25" s="176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0"/>
      <c r="C40" s="160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A9A3A3-665F-41D1-8E2B-45D61DB13711}">
  <sheetPr codeName="Sheet18">
    <tabColor rgb="FF0070C0"/>
  </sheetPr>
  <dimension ref="A1:P45"/>
  <sheetViews>
    <sheetView view="pageBreakPreview" zoomScale="90" zoomScaleNormal="100" zoomScaleSheetLayoutView="90" workbookViewId="0">
      <selection activeCell="J6" sqref="J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153</v>
      </c>
      <c r="L3" s="4"/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45411</v>
      </c>
      <c r="L4" s="4"/>
      <c r="P4" s="4"/>
    </row>
    <row r="5" spans="1:16" s="3" customFormat="1" ht="30" customHeight="1">
      <c r="B5" s="11" t="s">
        <v>7</v>
      </c>
      <c r="C5" s="183" t="s">
        <v>262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160</v>
      </c>
      <c r="C11" s="42" t="s">
        <v>137</v>
      </c>
      <c r="D11" s="98" t="s">
        <v>449</v>
      </c>
      <c r="E11" s="44"/>
      <c r="F11" s="45"/>
      <c r="G11" s="46"/>
      <c r="H11" s="47"/>
      <c r="I11" s="48"/>
      <c r="J11" s="50"/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0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450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60E8D3-643D-4F9A-BB6C-27AEC3FCA277}">
  <sheetPr codeName="Sheet19">
    <tabColor rgb="FF00B0F0"/>
  </sheetPr>
  <dimension ref="A1:P45"/>
  <sheetViews>
    <sheetView view="pageBreakPreview" topLeftCell="A10" zoomScale="90" zoomScaleNormal="100" zoomScaleSheetLayoutView="90" workbookViewId="0">
      <selection activeCell="D19" sqref="D1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152</v>
      </c>
      <c r="O3" s="4"/>
    </row>
    <row r="4" spans="1:16" s="3" customFormat="1" ht="30" customHeight="1">
      <c r="B4" s="11" t="s">
        <v>5</v>
      </c>
      <c r="C4" s="12" t="s">
        <v>418</v>
      </c>
      <c r="D4" s="13"/>
      <c r="E4" s="13"/>
      <c r="F4" s="14" t="s">
        <v>6</v>
      </c>
      <c r="G4" s="15"/>
      <c r="H4" s="15"/>
      <c r="I4" s="15"/>
      <c r="J4" s="16">
        <v>45411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5</v>
      </c>
      <c r="C11" s="42" t="s">
        <v>384</v>
      </c>
      <c r="D11" s="193" t="s">
        <v>441</v>
      </c>
      <c r="E11" s="194"/>
      <c r="F11" s="45">
        <v>100</v>
      </c>
      <c r="G11" s="76"/>
      <c r="H11" s="47"/>
      <c r="I11" s="48"/>
      <c r="J11" s="50">
        <f t="shared" ref="J11:J16" si="0">F11*B11</f>
        <v>500</v>
      </c>
      <c r="L11" s="80"/>
      <c r="M11" s="5"/>
      <c r="N11" s="5"/>
      <c r="P11" s="4"/>
    </row>
    <row r="12" spans="1:16" s="3" customFormat="1" ht="20.100000000000001" customHeight="1">
      <c r="B12" s="41">
        <v>40</v>
      </c>
      <c r="C12" s="42" t="s">
        <v>384</v>
      </c>
      <c r="D12" s="81" t="s">
        <v>295</v>
      </c>
      <c r="E12" s="44"/>
      <c r="F12" s="45">
        <v>125</v>
      </c>
      <c r="G12" s="76"/>
      <c r="H12" s="47"/>
      <c r="I12" s="48"/>
      <c r="J12" s="50">
        <f t="shared" si="0"/>
        <v>5000</v>
      </c>
      <c r="M12" s="1"/>
      <c r="N12" s="1"/>
      <c r="O12" s="4"/>
    </row>
    <row r="13" spans="1:16" s="3" customFormat="1" ht="20.100000000000001" customHeight="1">
      <c r="B13" s="41">
        <v>5</v>
      </c>
      <c r="C13" s="42" t="s">
        <v>384</v>
      </c>
      <c r="D13" s="77" t="s">
        <v>296</v>
      </c>
      <c r="E13" s="44"/>
      <c r="F13" s="45">
        <v>85</v>
      </c>
      <c r="G13" s="76"/>
      <c r="H13" s="47"/>
      <c r="I13" s="48"/>
      <c r="J13" s="50">
        <f t="shared" si="0"/>
        <v>425</v>
      </c>
      <c r="M13" s="1"/>
      <c r="N13" s="1"/>
      <c r="O13" s="4"/>
    </row>
    <row r="14" spans="1:16" s="3" customFormat="1" ht="20.100000000000001" customHeight="1">
      <c r="B14" s="41">
        <v>4</v>
      </c>
      <c r="C14" s="42" t="s">
        <v>384</v>
      </c>
      <c r="D14" s="77" t="s">
        <v>442</v>
      </c>
      <c r="E14" s="44"/>
      <c r="F14" s="45">
        <v>80</v>
      </c>
      <c r="G14" s="46"/>
      <c r="H14" s="47"/>
      <c r="I14" s="48"/>
      <c r="J14" s="50">
        <f t="shared" si="0"/>
        <v>320</v>
      </c>
      <c r="M14" s="1"/>
      <c r="N14" s="1"/>
      <c r="O14" s="4"/>
      <c r="P14" s="49"/>
    </row>
    <row r="15" spans="1:16" s="3" customFormat="1" ht="20.100000000000001" customHeight="1">
      <c r="B15" s="41">
        <v>8</v>
      </c>
      <c r="C15" s="42" t="s">
        <v>384</v>
      </c>
      <c r="D15" s="77" t="s">
        <v>443</v>
      </c>
      <c r="E15" s="44"/>
      <c r="F15" s="45">
        <v>550</v>
      </c>
      <c r="G15" s="46"/>
      <c r="H15" s="47"/>
      <c r="I15" s="48"/>
      <c r="J15" s="50">
        <f t="shared" si="0"/>
        <v>4400</v>
      </c>
      <c r="M15" s="1"/>
      <c r="N15" s="1"/>
      <c r="O15" s="4"/>
    </row>
    <row r="16" spans="1:16" s="3" customFormat="1" ht="20.100000000000001" customHeight="1">
      <c r="B16" s="41">
        <v>2</v>
      </c>
      <c r="C16" s="42" t="s">
        <v>444</v>
      </c>
      <c r="D16" s="77" t="s">
        <v>445</v>
      </c>
      <c r="E16" s="44"/>
      <c r="F16" s="45">
        <v>763.2</v>
      </c>
      <c r="G16" s="46"/>
      <c r="H16" s="47"/>
      <c r="I16" s="48"/>
      <c r="J16" s="50">
        <f t="shared" si="0"/>
        <v>1526.4</v>
      </c>
      <c r="M16" s="5"/>
      <c r="O16" s="4"/>
    </row>
    <row r="17" spans="2:15" s="3" customFormat="1" ht="20.100000000000001" customHeight="1">
      <c r="B17" s="41"/>
      <c r="C17" s="42"/>
      <c r="D17" s="77" t="s">
        <v>446</v>
      </c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>
        <v>2</v>
      </c>
      <c r="C18" s="123" t="s">
        <v>387</v>
      </c>
      <c r="D18" s="78" t="s">
        <v>447</v>
      </c>
      <c r="E18" s="59"/>
      <c r="F18" s="54">
        <v>2279</v>
      </c>
      <c r="G18" s="46"/>
      <c r="H18" s="47"/>
      <c r="I18" s="124"/>
      <c r="J18" s="55">
        <f>F18*B18</f>
        <v>4558</v>
      </c>
      <c r="M18" s="5"/>
      <c r="N18" s="4"/>
      <c r="O18" s="4"/>
    </row>
    <row r="19" spans="2:15" s="3" customFormat="1" ht="20.100000000000001" customHeight="1">
      <c r="B19" s="41">
        <v>2</v>
      </c>
      <c r="C19" s="123" t="s">
        <v>384</v>
      </c>
      <c r="D19" s="125" t="s">
        <v>448</v>
      </c>
      <c r="E19" s="53"/>
      <c r="F19" s="54">
        <v>73</v>
      </c>
      <c r="G19" s="46"/>
      <c r="H19" s="47"/>
      <c r="I19" s="124"/>
      <c r="J19" s="55">
        <f>F19*B19</f>
        <v>146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 t="s">
        <v>440</v>
      </c>
      <c r="E26" s="170"/>
      <c r="F26" s="173" t="s">
        <v>15</v>
      </c>
      <c r="G26" s="174"/>
      <c r="H26" s="62"/>
      <c r="I26" s="62"/>
      <c r="J26" s="158">
        <f>SUM(J11:J25)</f>
        <v>16875.400000000001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425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220E0-4689-4A6E-8462-58F5BAEB5F2D}">
  <sheetPr codeName="Sheet20">
    <tabColor rgb="FFC0000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437</v>
      </c>
      <c r="D3" s="191"/>
      <c r="E3" s="191"/>
      <c r="F3" s="10" t="s">
        <v>3</v>
      </c>
      <c r="G3" s="10"/>
      <c r="H3" s="10"/>
      <c r="I3" s="10"/>
      <c r="J3" s="75">
        <v>151</v>
      </c>
      <c r="O3" s="4"/>
    </row>
    <row r="4" spans="1:16" s="3" customFormat="1" ht="30" customHeight="1">
      <c r="B4" s="11" t="s">
        <v>5</v>
      </c>
      <c r="C4" s="12" t="s">
        <v>434</v>
      </c>
      <c r="D4" s="13"/>
      <c r="E4" s="13"/>
      <c r="F4" s="14" t="s">
        <v>6</v>
      </c>
      <c r="G4" s="15"/>
      <c r="H4" s="15"/>
      <c r="I4" s="15"/>
      <c r="J4" s="16">
        <v>45408</v>
      </c>
      <c r="L4" s="17"/>
      <c r="P4" s="4"/>
    </row>
    <row r="5" spans="1:16" s="3" customFormat="1" ht="30" customHeight="1">
      <c r="B5" s="11" t="s">
        <v>7</v>
      </c>
      <c r="C5" s="79" t="s">
        <v>439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438</v>
      </c>
      <c r="E11" s="194"/>
      <c r="F11" s="45"/>
      <c r="G11" s="76"/>
      <c r="H11" s="47"/>
      <c r="I11" s="48"/>
      <c r="J11" s="50">
        <v>700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395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D486A-EED5-4C2B-ABB0-14C1589476DB}">
  <sheetPr codeName="Sheet21">
    <tabColor rgb="FFC0000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435</v>
      </c>
      <c r="D3" s="191"/>
      <c r="E3" s="191"/>
      <c r="F3" s="10" t="s">
        <v>3</v>
      </c>
      <c r="G3" s="10"/>
      <c r="H3" s="10"/>
      <c r="I3" s="10"/>
      <c r="J3" s="75">
        <v>150</v>
      </c>
      <c r="O3" s="4"/>
    </row>
    <row r="4" spans="1:16" s="3" customFormat="1" ht="30" customHeight="1">
      <c r="B4" s="11" t="s">
        <v>5</v>
      </c>
      <c r="C4" s="12" t="s">
        <v>434</v>
      </c>
      <c r="D4" s="13"/>
      <c r="E4" s="13"/>
      <c r="F4" s="14" t="s">
        <v>6</v>
      </c>
      <c r="G4" s="15"/>
      <c r="H4" s="15"/>
      <c r="I4" s="15"/>
      <c r="J4" s="16">
        <v>45408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436</v>
      </c>
      <c r="E11" s="194"/>
      <c r="F11" s="45"/>
      <c r="G11" s="76"/>
      <c r="H11" s="47"/>
      <c r="I11" s="48"/>
      <c r="J11" s="50">
        <v>1180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1180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425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50EA6-6CD6-4E30-9A7C-CEC8E3E77899}">
  <sheetPr codeName="Sheet22">
    <tabColor rgb="FF00B0F0"/>
  </sheetPr>
  <dimension ref="A1:P44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149</v>
      </c>
      <c r="L3" s="4"/>
      <c r="O3" s="4"/>
    </row>
    <row r="4" spans="1:16" s="3" customFormat="1" ht="30" customHeight="1">
      <c r="B4" s="11" t="s">
        <v>5</v>
      </c>
      <c r="C4" s="12" t="s">
        <v>151</v>
      </c>
      <c r="D4" s="13"/>
      <c r="E4" s="13"/>
      <c r="F4" s="14" t="s">
        <v>6</v>
      </c>
      <c r="G4" s="15"/>
      <c r="H4" s="15"/>
      <c r="I4" s="15"/>
      <c r="J4" s="16">
        <v>45407</v>
      </c>
      <c r="L4" s="4"/>
      <c r="P4" s="4"/>
    </row>
    <row r="5" spans="1:16" s="3" customFormat="1" ht="30" customHeight="1">
      <c r="B5" s="11" t="s">
        <v>7</v>
      </c>
      <c r="C5" s="183" t="s">
        <v>429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500</v>
      </c>
      <c r="C11" s="42" t="s">
        <v>430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102500</v>
      </c>
      <c r="L11" s="4"/>
      <c r="M11" s="1"/>
      <c r="N11" s="1"/>
      <c r="O11" s="4"/>
    </row>
    <row r="12" spans="1:16" s="3" customFormat="1" ht="20.100000000000001" customHeight="1">
      <c r="B12" s="41">
        <v>24</v>
      </c>
      <c r="C12" s="42" t="s">
        <v>280</v>
      </c>
      <c r="D12" s="98" t="s">
        <v>431</v>
      </c>
      <c r="E12" s="44"/>
      <c r="F12" s="45">
        <v>805</v>
      </c>
      <c r="G12" s="46"/>
      <c r="H12" s="47"/>
      <c r="I12" s="48"/>
      <c r="J12" s="50">
        <f>F12*B12</f>
        <v>19320</v>
      </c>
      <c r="L12" s="4"/>
      <c r="M12" s="1"/>
      <c r="N12" s="1"/>
      <c r="O12" s="4"/>
    </row>
    <row r="13" spans="1:16" s="3" customFormat="1" ht="20.100000000000001" customHeight="1">
      <c r="B13" s="41">
        <v>20</v>
      </c>
      <c r="C13" s="42" t="s">
        <v>384</v>
      </c>
      <c r="D13" s="98" t="s">
        <v>432</v>
      </c>
      <c r="E13" s="44"/>
      <c r="F13" s="45">
        <v>230</v>
      </c>
      <c r="G13" s="89"/>
      <c r="H13" s="47"/>
      <c r="I13" s="48"/>
      <c r="J13" s="50">
        <f>F13*B13</f>
        <v>4600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5"/>
      <c r="C25" s="167" t="s">
        <v>14</v>
      </c>
      <c r="D25" s="169" t="s">
        <v>433</v>
      </c>
      <c r="E25" s="170"/>
      <c r="F25" s="173" t="s">
        <v>15</v>
      </c>
      <c r="G25" s="174"/>
      <c r="H25" s="62"/>
      <c r="I25" s="62"/>
      <c r="J25" s="158">
        <f>SUM(J11:J24)</f>
        <v>126420</v>
      </c>
      <c r="K25" s="158"/>
      <c r="L25" s="189"/>
      <c r="M25" s="63"/>
      <c r="O25" s="4"/>
    </row>
    <row r="26" spans="2:16" s="3" customFormat="1" ht="19.5" customHeight="1">
      <c r="B26" s="166"/>
      <c r="C26" s="168"/>
      <c r="D26" s="171"/>
      <c r="E26" s="172"/>
      <c r="F26" s="175"/>
      <c r="G26" s="176"/>
      <c r="H26" s="62"/>
      <c r="I26" s="62"/>
      <c r="J26" s="159"/>
      <c r="K26" s="159"/>
      <c r="L26" s="190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19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42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0"/>
      <c r="C41" s="160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B1:F1"/>
    <mergeCell ref="G1:J1"/>
    <mergeCell ref="C3:E3"/>
    <mergeCell ref="C5:E5"/>
    <mergeCell ref="D9:E9"/>
    <mergeCell ref="F9:H9"/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62F2C2-1AC5-4397-AAC2-E94237380749}">
  <sheetPr>
    <tabColor rgb="FFC00000"/>
  </sheetPr>
  <dimension ref="A1:P45"/>
  <sheetViews>
    <sheetView view="pageBreakPreview" topLeftCell="B6" zoomScale="90" zoomScaleNormal="100" zoomScaleSheetLayoutView="90" workbookViewId="0">
      <selection activeCell="F26" sqref="F26:G2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684</v>
      </c>
      <c r="D3" s="188"/>
      <c r="E3" s="188"/>
      <c r="F3" s="10" t="s">
        <v>3</v>
      </c>
      <c r="G3" s="10"/>
      <c r="H3" s="10"/>
      <c r="I3" s="10"/>
      <c r="J3" s="75">
        <v>211</v>
      </c>
      <c r="O3" s="4"/>
    </row>
    <row r="4" spans="1:16" s="3" customFormat="1" ht="30" customHeight="1">
      <c r="B4" s="11" t="s">
        <v>5</v>
      </c>
      <c r="C4" s="12" t="s">
        <v>691</v>
      </c>
      <c r="D4" s="13"/>
      <c r="E4" s="13"/>
      <c r="F4" s="14" t="s">
        <v>6</v>
      </c>
      <c r="G4" s="15"/>
      <c r="H4" s="15"/>
      <c r="I4" s="15"/>
      <c r="J4" s="16">
        <v>45474</v>
      </c>
      <c r="L4" s="17"/>
      <c r="P4" s="4"/>
    </row>
    <row r="5" spans="1:16" s="3" customFormat="1" ht="30" customHeight="1">
      <c r="B5" s="11" t="s">
        <v>7</v>
      </c>
      <c r="C5" s="79" t="s">
        <v>554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691</v>
      </c>
      <c r="E11" s="4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683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682</v>
      </c>
      <c r="E13" s="44"/>
      <c r="F13" s="45">
        <v>6000</v>
      </c>
      <c r="G13" s="76"/>
      <c r="H13" s="47"/>
      <c r="I13" s="48"/>
      <c r="J13" s="50">
        <f>F13*2</f>
        <v>12000</v>
      </c>
      <c r="M13" s="1"/>
      <c r="N13" s="1"/>
      <c r="O13" s="4"/>
    </row>
    <row r="14" spans="1:16" s="3" customFormat="1" ht="20.100000000000001" customHeight="1">
      <c r="B14" s="41"/>
      <c r="C14" s="42"/>
      <c r="D14" s="77" t="s">
        <v>243</v>
      </c>
      <c r="E14" s="44"/>
      <c r="F14" s="45">
        <v>6000</v>
      </c>
      <c r="G14" s="46"/>
      <c r="H14" s="47"/>
      <c r="I14" s="48"/>
      <c r="J14" s="50">
        <f>F14</f>
        <v>6000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18000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1:F1"/>
    <mergeCell ref="G1:J1"/>
    <mergeCell ref="C3:E3"/>
    <mergeCell ref="D9:E9"/>
    <mergeCell ref="F9:H9"/>
    <mergeCell ref="D10:E10"/>
    <mergeCell ref="F10:G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0119ED-5A82-4A9D-9AC9-A65D8D6BEFC0}">
  <sheetPr codeName="Sheet23">
    <tabColor rgb="FF0070C0"/>
  </sheetPr>
  <dimension ref="A1:P50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7" t="s">
        <v>348</v>
      </c>
      <c r="D3" s="187"/>
      <c r="E3" s="187"/>
      <c r="F3" s="10" t="s">
        <v>3</v>
      </c>
      <c r="G3" s="10"/>
      <c r="H3" s="10"/>
      <c r="I3" s="10"/>
      <c r="J3" s="75">
        <v>148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45407</v>
      </c>
      <c r="L4" s="103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73.8</v>
      </c>
      <c r="C10" s="42" t="s">
        <v>280</v>
      </c>
      <c r="D10" s="3" t="s">
        <v>392</v>
      </c>
      <c r="E10" s="44"/>
      <c r="F10" s="45">
        <v>500</v>
      </c>
      <c r="G10" s="76"/>
      <c r="H10" s="47"/>
      <c r="I10" s="48"/>
      <c r="J10" s="50">
        <f>F10*D13</f>
        <v>36900</v>
      </c>
      <c r="M10" s="5"/>
      <c r="O10" s="4"/>
    </row>
    <row r="11" spans="1:16" s="3" customFormat="1" ht="20.100000000000001" customHeight="1">
      <c r="B11" s="41"/>
      <c r="C11" s="42"/>
      <c r="D11" s="82" t="s">
        <v>427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 t="s">
        <v>408</v>
      </c>
      <c r="F12" s="45"/>
      <c r="G12" s="46"/>
      <c r="H12" s="47"/>
      <c r="I12" s="48"/>
      <c r="J12" s="50"/>
      <c r="K12" s="107">
        <f>J10-J12</f>
        <v>36900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>
        <f>60*1.23</f>
        <v>73.8</v>
      </c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>
        <v>301.8</v>
      </c>
      <c r="C14" s="42" t="s">
        <v>280</v>
      </c>
      <c r="D14" s="3" t="s">
        <v>392</v>
      </c>
      <c r="E14" s="44"/>
      <c r="F14" s="45">
        <v>750</v>
      </c>
      <c r="G14" s="76"/>
      <c r="H14" s="47"/>
      <c r="I14" s="48"/>
      <c r="J14" s="50">
        <f>F14*B14</f>
        <v>226350</v>
      </c>
      <c r="M14" s="5"/>
      <c r="O14" s="4"/>
    </row>
    <row r="15" spans="1:16" s="3" customFormat="1" ht="20.100000000000001" customHeight="1">
      <c r="B15" s="41"/>
      <c r="C15" s="42"/>
      <c r="D15" s="82" t="s">
        <v>428</v>
      </c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 t="s">
        <v>410</v>
      </c>
      <c r="F16" s="45"/>
      <c r="G16" s="46"/>
      <c r="H16" s="47"/>
      <c r="I16" s="48"/>
      <c r="J16" s="50"/>
      <c r="K16" s="107">
        <f>J14-J16</f>
        <v>226350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>
        <f>60*5.03</f>
        <v>301.8</v>
      </c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5"/>
      <c r="C24" s="167" t="s">
        <v>14</v>
      </c>
      <c r="D24" s="169"/>
      <c r="E24" s="170"/>
      <c r="F24" s="173" t="s">
        <v>15</v>
      </c>
      <c r="G24" s="174"/>
      <c r="H24" s="62"/>
      <c r="I24" s="62"/>
      <c r="J24" s="158">
        <f>SUM(J10:J23)</f>
        <v>263250</v>
      </c>
      <c r="M24" s="63"/>
      <c r="O24" s="4"/>
    </row>
    <row r="25" spans="2:15" s="3" customFormat="1" ht="19.5" customHeight="1">
      <c r="B25" s="166"/>
      <c r="C25" s="168"/>
      <c r="D25" s="171"/>
      <c r="E25" s="172"/>
      <c r="F25" s="175"/>
      <c r="G25" s="176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0"/>
      <c r="C40" s="160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7BB075-440B-41D6-A465-DCF4D128320C}">
  <sheetPr codeName="Sheet24"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411</v>
      </c>
      <c r="D3" s="191"/>
      <c r="E3" s="191"/>
      <c r="F3" s="10" t="s">
        <v>3</v>
      </c>
      <c r="G3" s="10"/>
      <c r="H3" s="10"/>
      <c r="I3" s="10"/>
      <c r="J3" s="75">
        <v>147</v>
      </c>
      <c r="O3" s="4"/>
    </row>
    <row r="4" spans="1:16" s="3" customFormat="1" ht="30" customHeight="1">
      <c r="B4" s="11" t="s">
        <v>5</v>
      </c>
      <c r="C4" s="12" t="s">
        <v>418</v>
      </c>
      <c r="D4" s="13"/>
      <c r="E4" s="13"/>
      <c r="F4" s="14" t="s">
        <v>6</v>
      </c>
      <c r="G4" s="15"/>
      <c r="H4" s="15"/>
      <c r="I4" s="15"/>
      <c r="J4" s="16">
        <v>45406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419</v>
      </c>
      <c r="D11" s="193" t="s">
        <v>420</v>
      </c>
      <c r="E11" s="194"/>
      <c r="F11" s="45">
        <v>1950</v>
      </c>
      <c r="G11" s="76"/>
      <c r="H11" s="47"/>
      <c r="I11" s="48"/>
      <c r="J11" s="50">
        <f>F11*B11</f>
        <v>3900</v>
      </c>
      <c r="L11" s="80"/>
      <c r="M11" s="5"/>
      <c r="N11" s="5"/>
      <c r="P11" s="4"/>
    </row>
    <row r="12" spans="1:16" s="3" customFormat="1" ht="20.100000000000001" customHeight="1">
      <c r="B12" s="41">
        <v>2</v>
      </c>
      <c r="C12" s="42" t="s">
        <v>419</v>
      </c>
      <c r="D12" s="81" t="s">
        <v>421</v>
      </c>
      <c r="E12" s="44"/>
      <c r="F12" s="45">
        <v>2800</v>
      </c>
      <c r="G12" s="76"/>
      <c r="H12" s="47"/>
      <c r="I12" s="48"/>
      <c r="J12" s="50">
        <f>F12*B12</f>
        <v>5600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422</v>
      </c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>
        <v>2</v>
      </c>
      <c r="C14" s="42" t="s">
        <v>384</v>
      </c>
      <c r="D14" s="77" t="s">
        <v>423</v>
      </c>
      <c r="E14" s="44"/>
      <c r="F14" s="45">
        <v>90</v>
      </c>
      <c r="G14" s="46"/>
      <c r="H14" s="47"/>
      <c r="I14" s="48"/>
      <c r="J14" s="50">
        <f>F14*B14</f>
        <v>180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 t="s">
        <v>424</v>
      </c>
      <c r="E26" s="170"/>
      <c r="F26" s="173" t="s">
        <v>15</v>
      </c>
      <c r="G26" s="174"/>
      <c r="H26" s="62"/>
      <c r="I26" s="62"/>
      <c r="J26" s="158">
        <f>SUM(J11:J25)</f>
        <v>9680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425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FA24A-8EA9-4A77-8352-5D99FC9D11B1}">
  <sheetPr codeName="Sheet25">
    <tabColor rgb="FFC00000"/>
  </sheetPr>
  <dimension ref="A1:P45"/>
  <sheetViews>
    <sheetView view="pageBreakPreview" zoomScaleNormal="100" zoomScaleSheetLayoutView="100" workbookViewId="0">
      <selection activeCell="E13" sqref="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/>
      <c r="D3" s="195"/>
      <c r="E3" s="195"/>
      <c r="F3" s="10" t="s">
        <v>3</v>
      </c>
      <c r="G3" s="10"/>
      <c r="H3" s="10"/>
      <c r="I3" s="10"/>
      <c r="J3" s="75">
        <v>146</v>
      </c>
      <c r="O3" s="4"/>
    </row>
    <row r="4" spans="1:16" s="3" customFormat="1" ht="30" customHeight="1">
      <c r="B4" s="11" t="s">
        <v>5</v>
      </c>
      <c r="C4" s="12" t="s">
        <v>181</v>
      </c>
      <c r="D4" s="13"/>
      <c r="E4" s="13"/>
      <c r="F4" s="14" t="s">
        <v>6</v>
      </c>
      <c r="G4" s="15"/>
      <c r="H4" s="15"/>
      <c r="I4" s="15"/>
      <c r="J4" s="16">
        <v>45405</v>
      </c>
      <c r="L4" s="17"/>
      <c r="P4" s="4"/>
    </row>
    <row r="5" spans="1:16" s="3" customFormat="1" ht="30" customHeight="1">
      <c r="B5" s="11" t="s">
        <v>7</v>
      </c>
      <c r="C5" s="183" t="s">
        <v>46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416</v>
      </c>
      <c r="E11" s="197"/>
      <c r="F11" s="45">
        <v>75000</v>
      </c>
      <c r="G11" s="76"/>
      <c r="H11" s="47"/>
      <c r="I11" s="48"/>
      <c r="J11" s="50">
        <f>F11</f>
        <v>75000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6" t="s">
        <v>417</v>
      </c>
      <c r="E12" s="197"/>
      <c r="F12" s="45">
        <v>75000</v>
      </c>
      <c r="G12" s="76"/>
      <c r="H12" s="47"/>
      <c r="I12" s="48"/>
      <c r="J12" s="50">
        <f>F12</f>
        <v>75000</v>
      </c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>
        <f>F13</f>
        <v>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150000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86FB38-9727-4978-9339-CF5A79456C68}">
  <sheetPr codeName="Sheet26">
    <tabColor rgb="FF0070C0"/>
  </sheetPr>
  <dimension ref="A1:P45"/>
  <sheetViews>
    <sheetView view="pageBreakPreview" zoomScale="90" zoomScaleNormal="100" zoomScaleSheetLayoutView="90" workbookViewId="0">
      <selection activeCell="E13" sqref="E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411</v>
      </c>
      <c r="D3" s="191"/>
      <c r="E3" s="191"/>
      <c r="F3" s="10" t="s">
        <v>3</v>
      </c>
      <c r="G3" s="10"/>
      <c r="H3" s="10"/>
      <c r="I3" s="10"/>
      <c r="J3" s="75">
        <v>145</v>
      </c>
      <c r="L3" s="4"/>
      <c r="O3" s="4"/>
    </row>
    <row r="4" spans="1:16" s="3" customFormat="1" ht="30" customHeight="1">
      <c r="B4" s="11" t="s">
        <v>5</v>
      </c>
      <c r="C4" s="12" t="s">
        <v>412</v>
      </c>
      <c r="D4" s="13"/>
      <c r="E4" s="13"/>
      <c r="F4" s="14" t="s">
        <v>6</v>
      </c>
      <c r="G4" s="15"/>
      <c r="H4" s="15"/>
      <c r="I4" s="15"/>
      <c r="J4" s="16">
        <v>45405</v>
      </c>
      <c r="L4" s="4"/>
      <c r="P4" s="4"/>
    </row>
    <row r="5" spans="1:16" s="3" customFormat="1" ht="30" customHeight="1">
      <c r="B5" s="11" t="s">
        <v>7</v>
      </c>
      <c r="C5" s="183" t="s">
        <v>350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40</v>
      </c>
      <c r="C11" s="42" t="s">
        <v>413</v>
      </c>
      <c r="D11" s="98" t="s">
        <v>414</v>
      </c>
      <c r="E11" s="44"/>
      <c r="F11" s="45">
        <v>78</v>
      </c>
      <c r="G11" s="46"/>
      <c r="H11" s="47"/>
      <c r="I11" s="48"/>
      <c r="J11" s="50">
        <f>F11*B11</f>
        <v>3120</v>
      </c>
      <c r="L11" s="4"/>
      <c r="M11" s="1"/>
      <c r="N11" s="1"/>
      <c r="O11" s="4"/>
    </row>
    <row r="12" spans="1:16" s="3" customFormat="1" ht="20.100000000000001" customHeight="1">
      <c r="B12" s="41">
        <v>1</v>
      </c>
      <c r="C12" s="42" t="s">
        <v>378</v>
      </c>
      <c r="D12" s="98" t="s">
        <v>415</v>
      </c>
      <c r="E12" s="44"/>
      <c r="F12" s="45">
        <v>60</v>
      </c>
      <c r="G12" s="76"/>
      <c r="H12" s="47"/>
      <c r="I12" s="48"/>
      <c r="J12" s="50">
        <f>F12</f>
        <v>60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3180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FBDAB1-9CD3-43A2-9E7D-8B7B9F853928}">
  <sheetPr codeName="Sheet27">
    <tabColor rgb="FF0070C0"/>
  </sheetPr>
  <dimension ref="A1:P50"/>
  <sheetViews>
    <sheetView view="pageBreakPreview" topLeftCell="A4" zoomScale="70" zoomScaleNormal="100" zoomScaleSheetLayoutView="70" workbookViewId="0">
      <selection activeCell="F18" sqref="F18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7" t="s">
        <v>348</v>
      </c>
      <c r="D3" s="187"/>
      <c r="E3" s="187"/>
      <c r="F3" s="10" t="s">
        <v>3</v>
      </c>
      <c r="G3" s="10"/>
      <c r="H3" s="10"/>
      <c r="I3" s="10"/>
      <c r="J3" s="75">
        <v>144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45405</v>
      </c>
      <c r="L4" s="103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49.2</v>
      </c>
      <c r="C10" s="42" t="s">
        <v>280</v>
      </c>
      <c r="D10" s="3" t="s">
        <v>392</v>
      </c>
      <c r="E10" s="44"/>
      <c r="F10" s="45">
        <v>500</v>
      </c>
      <c r="G10" s="76"/>
      <c r="H10" s="47"/>
      <c r="I10" s="48"/>
      <c r="J10" s="50">
        <f>F10*B10</f>
        <v>24600</v>
      </c>
      <c r="M10" s="5"/>
      <c r="O10" s="4"/>
    </row>
    <row r="11" spans="1:16" s="3" customFormat="1" ht="20.100000000000001" customHeight="1">
      <c r="B11" s="41"/>
      <c r="C11" s="42"/>
      <c r="D11" s="82" t="s">
        <v>407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 t="s">
        <v>408</v>
      </c>
      <c r="F12" s="45"/>
      <c r="G12" s="46"/>
      <c r="H12" s="47"/>
      <c r="I12" s="48"/>
      <c r="J12" s="50"/>
      <c r="K12" s="107">
        <f>J10-J12</f>
        <v>24600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>
        <f>40*1.23</f>
        <v>49.2</v>
      </c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>
        <f>40*5.03</f>
        <v>201.20000000000002</v>
      </c>
      <c r="C14" s="42" t="s">
        <v>280</v>
      </c>
      <c r="D14" s="3" t="s">
        <v>392</v>
      </c>
      <c r="E14" s="44"/>
      <c r="F14" s="45">
        <v>750</v>
      </c>
      <c r="G14" s="76"/>
      <c r="H14" s="47"/>
      <c r="I14" s="48"/>
      <c r="J14" s="50">
        <f>F14*B14</f>
        <v>150900</v>
      </c>
      <c r="M14" s="5"/>
      <c r="O14" s="4"/>
    </row>
    <row r="15" spans="1:16" s="3" customFormat="1" ht="20.100000000000001" customHeight="1">
      <c r="B15" s="41"/>
      <c r="C15" s="42"/>
      <c r="D15" s="82" t="s">
        <v>409</v>
      </c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 t="s">
        <v>410</v>
      </c>
      <c r="F16" s="45"/>
      <c r="G16" s="46"/>
      <c r="H16" s="47"/>
      <c r="I16" s="48"/>
      <c r="J16" s="50"/>
      <c r="K16" s="107">
        <f>J14-J16</f>
        <v>150900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>
        <f>40*5.03</f>
        <v>201.20000000000002</v>
      </c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5"/>
      <c r="C24" s="167" t="s">
        <v>14</v>
      </c>
      <c r="D24" s="169"/>
      <c r="E24" s="170"/>
      <c r="F24" s="173" t="s">
        <v>15</v>
      </c>
      <c r="G24" s="174"/>
      <c r="H24" s="62"/>
      <c r="I24" s="62"/>
      <c r="J24" s="158">
        <f>SUM(J10:J23)</f>
        <v>175500</v>
      </c>
      <c r="M24" s="63"/>
      <c r="O24" s="4"/>
    </row>
    <row r="25" spans="2:15" s="3" customFormat="1" ht="19.5" customHeight="1">
      <c r="B25" s="166"/>
      <c r="C25" s="168"/>
      <c r="D25" s="171"/>
      <c r="E25" s="172"/>
      <c r="F25" s="175"/>
      <c r="G25" s="176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0"/>
      <c r="C40" s="160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DF34B9-720A-44A0-926D-031A072B53E8}">
  <sheetPr codeName="Sheet28">
    <tabColor rgb="FF0070C0"/>
  </sheetPr>
  <dimension ref="A1:P45"/>
  <sheetViews>
    <sheetView view="pageBreakPreview" topLeftCell="A10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143</v>
      </c>
      <c r="L3" s="4"/>
      <c r="O3" s="4"/>
    </row>
    <row r="4" spans="1:16" s="3" customFormat="1" ht="30" customHeight="1">
      <c r="B4" s="11" t="s">
        <v>5</v>
      </c>
      <c r="C4" s="12" t="s">
        <v>402</v>
      </c>
      <c r="D4" s="13"/>
      <c r="E4" s="13"/>
      <c r="F4" s="14" t="s">
        <v>6</v>
      </c>
      <c r="G4" s="15"/>
      <c r="H4" s="15"/>
      <c r="I4" s="15"/>
      <c r="J4" s="16">
        <v>45404</v>
      </c>
      <c r="L4" s="4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117"/>
      <c r="D11" s="200" t="s">
        <v>403</v>
      </c>
      <c r="E11" s="201"/>
      <c r="F11" s="119"/>
      <c r="G11" s="46"/>
      <c r="H11" s="47"/>
      <c r="I11" s="48"/>
      <c r="J11" s="50">
        <v>10000</v>
      </c>
      <c r="L11" s="4"/>
      <c r="M11" s="1"/>
      <c r="N11" s="1"/>
      <c r="O11" s="4"/>
    </row>
    <row r="12" spans="1:16" s="3" customFormat="1" ht="20.100000000000001" customHeight="1">
      <c r="B12" s="41"/>
      <c r="C12" s="118"/>
      <c r="D12" s="199" t="s">
        <v>404</v>
      </c>
      <c r="E12" s="199"/>
      <c r="F12" s="121"/>
      <c r="G12" s="76"/>
      <c r="H12" s="47"/>
      <c r="I12" s="48"/>
      <c r="J12" s="50"/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199" t="s">
        <v>405</v>
      </c>
      <c r="E13" s="199"/>
      <c r="F13" s="120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199" t="s">
        <v>406</v>
      </c>
      <c r="E14" s="199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B26:B27"/>
    <mergeCell ref="C26:C27"/>
    <mergeCell ref="D26:E27"/>
    <mergeCell ref="F26:G27"/>
    <mergeCell ref="J26:J27"/>
    <mergeCell ref="K26:K27"/>
    <mergeCell ref="L26:L27"/>
    <mergeCell ref="B42:C42"/>
    <mergeCell ref="D13:E13"/>
    <mergeCell ref="D14:E14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5446C-E594-4CB4-9269-AFC5B6048365}">
  <sheetPr codeName="Sheet29">
    <tabColor rgb="FF0070C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142</v>
      </c>
      <c r="L3" s="4"/>
      <c r="O3" s="4"/>
    </row>
    <row r="4" spans="1:16" s="3" customFormat="1" ht="30" customHeight="1">
      <c r="B4" s="11" t="s">
        <v>5</v>
      </c>
      <c r="C4" s="12" t="s">
        <v>398</v>
      </c>
      <c r="D4" s="13"/>
      <c r="E4" s="13"/>
      <c r="F4" s="14" t="s">
        <v>6</v>
      </c>
      <c r="G4" s="15"/>
      <c r="H4" s="15"/>
      <c r="I4" s="15"/>
      <c r="J4" s="16">
        <v>45404</v>
      </c>
      <c r="L4" s="4"/>
      <c r="P4" s="4"/>
    </row>
    <row r="5" spans="1:16" s="3" customFormat="1" ht="30" customHeight="1">
      <c r="B5" s="11" t="s">
        <v>7</v>
      </c>
      <c r="C5" s="183" t="s">
        <v>401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117"/>
      <c r="D11" s="200" t="s">
        <v>400</v>
      </c>
      <c r="E11" s="201"/>
      <c r="F11" s="119"/>
      <c r="G11" s="46"/>
      <c r="H11" s="47"/>
      <c r="I11" s="48"/>
      <c r="J11" s="50">
        <v>30000</v>
      </c>
      <c r="L11" s="4"/>
      <c r="M11" s="1"/>
      <c r="N11" s="1"/>
      <c r="O11" s="4"/>
    </row>
    <row r="12" spans="1:16" s="3" customFormat="1" ht="20.100000000000001" customHeight="1">
      <c r="B12" s="41"/>
      <c r="C12" s="118"/>
      <c r="D12" s="199" t="s">
        <v>399</v>
      </c>
      <c r="E12" s="199"/>
      <c r="F12" s="121"/>
      <c r="G12" s="76"/>
      <c r="H12" s="47"/>
      <c r="I12" s="48"/>
      <c r="J12" s="50"/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122"/>
      <c r="E13" s="122"/>
      <c r="F13" s="120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30000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8">
    <mergeCell ref="B1:F1"/>
    <mergeCell ref="G1:J1"/>
    <mergeCell ref="C3:E3"/>
    <mergeCell ref="C5:E5"/>
    <mergeCell ref="D9:E9"/>
    <mergeCell ref="F9:H9"/>
    <mergeCell ref="D10:E10"/>
    <mergeCell ref="F10:G10"/>
    <mergeCell ref="B26:B27"/>
    <mergeCell ref="C26:C27"/>
    <mergeCell ref="D26:E27"/>
    <mergeCell ref="F26:G27"/>
    <mergeCell ref="J26:J27"/>
    <mergeCell ref="K26:K27"/>
    <mergeCell ref="L26:L27"/>
    <mergeCell ref="B42:C42"/>
    <mergeCell ref="D11:E11"/>
    <mergeCell ref="D12:E12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FE865-1C05-4BAE-8620-333D66849969}">
  <sheetPr codeName="Sheet30">
    <tabColor rgb="FFC00000"/>
  </sheetPr>
  <dimension ref="A1:P45"/>
  <sheetViews>
    <sheetView view="pageBreakPreview" topLeftCell="C1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232</v>
      </c>
      <c r="D3" s="195"/>
      <c r="E3" s="195"/>
      <c r="F3" s="10" t="s">
        <v>3</v>
      </c>
      <c r="G3" s="10"/>
      <c r="H3" s="10"/>
      <c r="I3" s="10"/>
      <c r="J3" s="75">
        <v>141</v>
      </c>
      <c r="O3" s="4"/>
    </row>
    <row r="4" spans="1:16" s="3" customFormat="1" ht="30" customHeight="1">
      <c r="B4" s="11" t="s">
        <v>5</v>
      </c>
      <c r="C4" s="12" t="s">
        <v>233</v>
      </c>
      <c r="D4" s="13"/>
      <c r="E4" s="13"/>
      <c r="F4" s="14" t="s">
        <v>6</v>
      </c>
      <c r="G4" s="15"/>
      <c r="H4" s="15"/>
      <c r="I4" s="15"/>
      <c r="J4" s="16">
        <v>45401</v>
      </c>
      <c r="L4" s="17"/>
      <c r="P4" s="4"/>
    </row>
    <row r="5" spans="1:16" s="3" customFormat="1" ht="30" customHeight="1">
      <c r="B5" s="11" t="s">
        <v>7</v>
      </c>
      <c r="C5" s="183" t="s">
        <v>92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397</v>
      </c>
      <c r="E11" s="44"/>
      <c r="F11" s="45">
        <v>1830</v>
      </c>
      <c r="G11" s="76"/>
      <c r="H11" s="47"/>
      <c r="I11" s="48"/>
      <c r="J11" s="50">
        <f>F11</f>
        <v>1830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1830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9">
    <mergeCell ref="B42:C42"/>
    <mergeCell ref="D24:E24"/>
    <mergeCell ref="B26:B27"/>
    <mergeCell ref="C26:C27"/>
    <mergeCell ref="D26:E27"/>
    <mergeCell ref="F26:G27"/>
    <mergeCell ref="J26:J27"/>
    <mergeCell ref="D10:E10"/>
    <mergeCell ref="F10:G10"/>
    <mergeCell ref="D17:E17"/>
    <mergeCell ref="D18:E18"/>
    <mergeCell ref="D22:E22"/>
    <mergeCell ref="D23:E23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CDC92-30DC-4AB6-81F9-764B427EF96E}">
  <sheetPr codeName="Sheet31">
    <tabColor rgb="FF0070C0"/>
  </sheetPr>
  <dimension ref="A1:P50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7" t="s">
        <v>348</v>
      </c>
      <c r="D3" s="187"/>
      <c r="E3" s="187"/>
      <c r="F3" s="10" t="s">
        <v>3</v>
      </c>
      <c r="G3" s="10"/>
      <c r="H3" s="10"/>
      <c r="I3" s="10"/>
      <c r="J3" s="75">
        <v>140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45401</v>
      </c>
      <c r="L4" s="103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277</v>
      </c>
      <c r="C10" s="42" t="s">
        <v>280</v>
      </c>
      <c r="D10" s="3" t="s">
        <v>392</v>
      </c>
      <c r="E10" s="44"/>
      <c r="F10" s="45">
        <v>500</v>
      </c>
      <c r="G10" s="76"/>
      <c r="H10" s="47"/>
      <c r="I10" s="48"/>
      <c r="J10" s="50">
        <f>D12*F10</f>
        <v>138500</v>
      </c>
      <c r="M10" s="5"/>
      <c r="O10" s="4"/>
    </row>
    <row r="11" spans="1:16" s="3" customFormat="1" ht="20.100000000000001" customHeight="1">
      <c r="B11" s="41"/>
      <c r="C11" s="42"/>
      <c r="D11" s="82" t="s">
        <v>396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>
        <v>277</v>
      </c>
      <c r="E12" s="106"/>
      <c r="F12" s="45"/>
      <c r="G12" s="46"/>
      <c r="H12" s="47"/>
      <c r="I12" s="48"/>
      <c r="J12" s="50"/>
      <c r="K12" s="107">
        <f>J10-J12</f>
        <v>138500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43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D14" s="116"/>
      <c r="E14" s="44"/>
      <c r="F14" s="45"/>
      <c r="G14" s="46"/>
      <c r="H14" s="47"/>
      <c r="I14" s="48"/>
      <c r="J14" s="50"/>
      <c r="M14" s="5"/>
      <c r="N14" s="4"/>
      <c r="O14" s="4"/>
    </row>
    <row r="15" spans="1:16" s="3" customFormat="1" ht="20.100000000000001" customHeight="1">
      <c r="B15" s="41"/>
      <c r="C15" s="42"/>
      <c r="D15" s="115"/>
      <c r="E15" s="106"/>
      <c r="F15" s="45"/>
      <c r="G15" s="46"/>
      <c r="H15" s="47"/>
      <c r="I15" s="48"/>
      <c r="J15" s="50"/>
      <c r="K15" s="107"/>
      <c r="M15" s="5"/>
      <c r="O15" s="4"/>
    </row>
    <row r="16" spans="1:16" s="3" customFormat="1" ht="20.100000000000001" customHeight="1">
      <c r="B16" s="41"/>
      <c r="C16" s="42"/>
      <c r="D16" s="115"/>
      <c r="E16" s="57"/>
      <c r="F16" s="45"/>
      <c r="G16" s="46"/>
      <c r="H16" s="47"/>
      <c r="I16" s="48"/>
      <c r="J16" s="50"/>
      <c r="L16" s="108"/>
      <c r="M16" s="5"/>
      <c r="O16" s="4"/>
    </row>
    <row r="17" spans="2:15" s="3" customFormat="1" ht="20.100000000000001" customHeight="1">
      <c r="B17" s="41"/>
      <c r="C17" s="42"/>
      <c r="D17" s="43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5"/>
      <c r="C24" s="167" t="s">
        <v>14</v>
      </c>
      <c r="D24" s="169"/>
      <c r="E24" s="170"/>
      <c r="F24" s="173" t="s">
        <v>15</v>
      </c>
      <c r="G24" s="174"/>
      <c r="H24" s="62"/>
      <c r="I24" s="62"/>
      <c r="J24" s="158">
        <f>SUM(J10:J23)</f>
        <v>138500</v>
      </c>
      <c r="M24" s="63"/>
      <c r="O24" s="4"/>
    </row>
    <row r="25" spans="2:15" s="3" customFormat="1" ht="19.5" customHeight="1">
      <c r="B25" s="166"/>
      <c r="C25" s="168"/>
      <c r="D25" s="171"/>
      <c r="E25" s="172"/>
      <c r="F25" s="175"/>
      <c r="G25" s="176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0"/>
      <c r="C40" s="160"/>
      <c r="E40" s="7"/>
      <c r="F40" s="7"/>
    </row>
    <row r="43" spans="2:13" ht="15">
      <c r="D43" s="7">
        <f>3.88*30</f>
        <v>116.39999999999999</v>
      </c>
      <c r="M43" s="74"/>
    </row>
    <row r="47" spans="2:13">
      <c r="E47" s="8">
        <f>418460+328300+309680+322420</f>
        <v>1378860</v>
      </c>
    </row>
    <row r="48" spans="2:13">
      <c r="E48" s="5">
        <f>E47-1378860</f>
        <v>0</v>
      </c>
    </row>
    <row r="50" spans="5:6">
      <c r="E50" s="114">
        <f>E47/281.4</f>
        <v>4900</v>
      </c>
      <c r="F50" s="114">
        <f>E47/4900</f>
        <v>281.39999999999998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80CA05-4D4C-4AF0-8386-9ACE6072FC6C}">
  <sheetPr codeName="Sheet32">
    <tabColor rgb="FF0070C0"/>
  </sheetPr>
  <dimension ref="A1:P45"/>
  <sheetViews>
    <sheetView view="pageBreakPreview" topLeftCell="A10" zoomScale="90" zoomScaleNormal="100" zoomScaleSheetLayoutView="90" workbookViewId="0">
      <selection activeCell="D22" sqref="D2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1" t="s">
        <v>377</v>
      </c>
      <c r="D3" s="191"/>
      <c r="E3" s="191"/>
      <c r="F3" s="10" t="s">
        <v>3</v>
      </c>
      <c r="G3" s="10"/>
      <c r="H3" s="10"/>
      <c r="I3" s="10"/>
      <c r="J3" s="75">
        <v>139</v>
      </c>
      <c r="L3" s="4"/>
      <c r="O3" s="4"/>
    </row>
    <row r="4" spans="1:16" s="3" customFormat="1" ht="30" customHeight="1">
      <c r="B4" s="11" t="s">
        <v>5</v>
      </c>
      <c r="C4" s="12" t="s">
        <v>376</v>
      </c>
      <c r="D4" s="13"/>
      <c r="E4" s="13"/>
      <c r="F4" s="14" t="s">
        <v>6</v>
      </c>
      <c r="G4" s="15"/>
      <c r="H4" s="15"/>
      <c r="I4" s="15"/>
      <c r="J4" s="16">
        <v>45401</v>
      </c>
      <c r="L4" s="4"/>
      <c r="P4" s="4"/>
    </row>
    <row r="5" spans="1:16" s="3" customFormat="1" ht="30" customHeight="1">
      <c r="B5" s="11" t="s">
        <v>7</v>
      </c>
      <c r="C5" s="183" t="s">
        <v>350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378</v>
      </c>
      <c r="D11" s="98" t="s">
        <v>379</v>
      </c>
      <c r="E11" s="44"/>
      <c r="F11" s="45">
        <v>140</v>
      </c>
      <c r="G11" s="46"/>
      <c r="H11" s="47"/>
      <c r="I11" s="48"/>
      <c r="J11" s="50">
        <f>F11</f>
        <v>140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>
        <v>1</v>
      </c>
      <c r="C12" s="42" t="s">
        <v>378</v>
      </c>
      <c r="D12" s="98" t="s">
        <v>380</v>
      </c>
      <c r="E12" s="44"/>
      <c r="F12" s="45">
        <v>450</v>
      </c>
      <c r="G12" s="76"/>
      <c r="H12" s="47"/>
      <c r="I12" s="48"/>
      <c r="J12" s="50">
        <f>F12</f>
        <v>450</v>
      </c>
      <c r="L12" s="93"/>
      <c r="M12" s="5"/>
      <c r="N12" s="5"/>
      <c r="P12" s="4"/>
    </row>
    <row r="13" spans="1:16" s="3" customFormat="1" ht="20.100000000000001" customHeight="1">
      <c r="B13" s="41">
        <v>2</v>
      </c>
      <c r="C13" s="42" t="s">
        <v>382</v>
      </c>
      <c r="D13" s="98" t="s">
        <v>381</v>
      </c>
      <c r="E13" s="44"/>
      <c r="F13" s="45">
        <v>250</v>
      </c>
      <c r="G13" s="89"/>
      <c r="H13" s="47"/>
      <c r="I13" s="48"/>
      <c r="J13" s="50">
        <f t="shared" ref="J13:J18" si="0">F13*B13</f>
        <v>500</v>
      </c>
      <c r="L13" s="93"/>
      <c r="M13" s="5"/>
      <c r="O13" s="90"/>
      <c r="P13" s="49"/>
    </row>
    <row r="14" spans="1:16" s="3" customFormat="1" ht="20.100000000000001" customHeight="1">
      <c r="B14" s="41">
        <v>2</v>
      </c>
      <c r="C14" s="42" t="s">
        <v>378</v>
      </c>
      <c r="D14" s="98" t="s">
        <v>383</v>
      </c>
      <c r="E14" s="44"/>
      <c r="F14" s="45">
        <v>180</v>
      </c>
      <c r="G14" s="76"/>
      <c r="H14" s="47"/>
      <c r="I14" s="48"/>
      <c r="J14" s="50">
        <f t="shared" si="0"/>
        <v>360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10</v>
      </c>
      <c r="C15" s="42" t="s">
        <v>384</v>
      </c>
      <c r="D15" s="98" t="s">
        <v>385</v>
      </c>
      <c r="E15" s="44"/>
      <c r="F15" s="45">
        <v>10</v>
      </c>
      <c r="G15" s="89"/>
      <c r="H15" s="47"/>
      <c r="I15" s="48"/>
      <c r="J15" s="50">
        <f t="shared" si="0"/>
        <v>100</v>
      </c>
      <c r="L15" s="4"/>
      <c r="M15" s="1"/>
      <c r="N15" s="1"/>
      <c r="O15" s="4"/>
    </row>
    <row r="16" spans="1:16" s="3" customFormat="1" ht="20.100000000000001" customHeight="1">
      <c r="B16" s="41">
        <v>10</v>
      </c>
      <c r="C16" s="42" t="s">
        <v>384</v>
      </c>
      <c r="D16" s="43" t="s">
        <v>386</v>
      </c>
      <c r="E16" s="44"/>
      <c r="F16" s="45">
        <v>20</v>
      </c>
      <c r="G16" s="46"/>
      <c r="H16" s="47"/>
      <c r="I16" s="48"/>
      <c r="J16" s="50">
        <f t="shared" si="0"/>
        <v>200</v>
      </c>
      <c r="L16" s="93"/>
      <c r="M16" s="5"/>
      <c r="O16" s="90"/>
      <c r="P16" s="49"/>
    </row>
    <row r="17" spans="2:16" s="3" customFormat="1" ht="20.100000000000001" customHeight="1">
      <c r="B17" s="41">
        <v>1</v>
      </c>
      <c r="C17" s="42" t="s">
        <v>387</v>
      </c>
      <c r="D17" s="43" t="s">
        <v>388</v>
      </c>
      <c r="E17" s="44"/>
      <c r="F17" s="45">
        <v>2650</v>
      </c>
      <c r="G17" s="46"/>
      <c r="H17" s="47"/>
      <c r="I17" s="48"/>
      <c r="J17" s="50">
        <f t="shared" si="0"/>
        <v>2650</v>
      </c>
      <c r="L17" s="4"/>
      <c r="M17" s="1"/>
      <c r="N17" s="1"/>
      <c r="O17" s="4"/>
      <c r="P17" s="49"/>
    </row>
    <row r="18" spans="2:16" s="3" customFormat="1" ht="20.100000000000001" customHeight="1">
      <c r="B18" s="41">
        <v>1</v>
      </c>
      <c r="C18" s="42" t="s">
        <v>387</v>
      </c>
      <c r="D18" s="43" t="s">
        <v>389</v>
      </c>
      <c r="E18" s="44"/>
      <c r="F18" s="45">
        <v>2350</v>
      </c>
      <c r="G18" s="46"/>
      <c r="H18" s="47"/>
      <c r="I18" s="48"/>
      <c r="J18" s="50">
        <f t="shared" si="0"/>
        <v>2350</v>
      </c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6750</v>
      </c>
      <c r="K26" s="158"/>
      <c r="L26" s="189">
        <f>SUM(L11:L25)</f>
        <v>36392.51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53F86-6B71-4C6B-9919-3707BC17E503}">
  <sheetPr>
    <tabColor rgb="FF00B0F0"/>
  </sheetPr>
  <dimension ref="A1:P45"/>
  <sheetViews>
    <sheetView view="pageBreakPreview" zoomScale="70" zoomScaleNormal="100" zoomScaleSheetLayoutView="70" workbookViewId="0">
      <selection activeCell="J19" sqref="J19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7" t="s">
        <v>678</v>
      </c>
      <c r="D3" s="187"/>
      <c r="E3" s="187"/>
      <c r="F3" s="10" t="s">
        <v>3</v>
      </c>
      <c r="G3" s="10"/>
      <c r="H3" s="10"/>
      <c r="I3" s="10"/>
      <c r="J3" s="75">
        <v>210</v>
      </c>
      <c r="O3" s="4"/>
    </row>
    <row r="4" spans="1:16" s="3" customFormat="1" ht="30" customHeight="1">
      <c r="B4" s="11" t="s">
        <v>5</v>
      </c>
      <c r="C4" s="12" t="s">
        <v>677</v>
      </c>
      <c r="D4" s="13"/>
      <c r="E4" s="13"/>
      <c r="F4" s="14" t="s">
        <v>6</v>
      </c>
      <c r="G4" s="15"/>
      <c r="H4" s="15"/>
      <c r="I4" s="15"/>
      <c r="J4" s="16">
        <v>45469</v>
      </c>
      <c r="L4" s="17"/>
      <c r="P4" s="4"/>
    </row>
    <row r="5" spans="1:16" s="3" customFormat="1" ht="30" customHeight="1">
      <c r="B5" s="11" t="s">
        <v>7</v>
      </c>
      <c r="C5" s="183" t="s">
        <v>525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311</v>
      </c>
      <c r="D11" s="98" t="s">
        <v>312</v>
      </c>
      <c r="E11" s="44"/>
      <c r="F11" s="45">
        <v>3008</v>
      </c>
      <c r="G11" s="46"/>
      <c r="H11" s="47"/>
      <c r="I11" s="48"/>
      <c r="J11" s="50">
        <f>F11*B11</f>
        <v>6016</v>
      </c>
      <c r="L11" s="45">
        <v>1108</v>
      </c>
      <c r="M11" s="45">
        <v>3008</v>
      </c>
      <c r="N11" s="1"/>
      <c r="O11" s="4"/>
    </row>
    <row r="12" spans="1:16" s="3" customFormat="1" ht="20.100000000000001" customHeight="1">
      <c r="B12" s="41">
        <v>6</v>
      </c>
      <c r="C12" s="42" t="s">
        <v>311</v>
      </c>
      <c r="D12" s="98" t="s">
        <v>313</v>
      </c>
      <c r="E12" s="44"/>
      <c r="F12" s="45">
        <v>9300</v>
      </c>
      <c r="G12" s="46"/>
      <c r="H12" s="47"/>
      <c r="I12" s="48"/>
      <c r="J12" s="50">
        <f>F12*B12</f>
        <v>55800</v>
      </c>
      <c r="L12" s="45">
        <v>800</v>
      </c>
      <c r="M12" s="45">
        <v>9300</v>
      </c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61816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6" t="s">
        <v>681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0DF11-F8FB-4BE1-B9C7-4E06DCBE370C}">
  <sheetPr codeName="Sheet33">
    <tabColor rgb="FFC00000"/>
  </sheetPr>
  <dimension ref="A1:P45"/>
  <sheetViews>
    <sheetView view="pageBreakPreview" zoomScale="80" zoomScaleNormal="100" zoomScaleSheetLayoutView="8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468</v>
      </c>
      <c r="D3" s="188"/>
      <c r="E3" s="188"/>
      <c r="F3" s="10" t="s">
        <v>3</v>
      </c>
      <c r="G3" s="10"/>
      <c r="H3" s="10"/>
      <c r="I3" s="10"/>
      <c r="J3" s="75">
        <v>138</v>
      </c>
      <c r="L3" s="3" t="s">
        <v>4</v>
      </c>
      <c r="O3" s="4"/>
    </row>
    <row r="4" spans="1:16" s="3" customFormat="1" ht="30" customHeight="1">
      <c r="B4" s="11" t="s">
        <v>5</v>
      </c>
      <c r="C4" s="202" t="s">
        <v>373</v>
      </c>
      <c r="D4" s="202"/>
      <c r="E4" s="202"/>
      <c r="F4" s="14" t="s">
        <v>6</v>
      </c>
      <c r="G4" s="15"/>
      <c r="H4" s="15"/>
      <c r="I4" s="15"/>
      <c r="J4" s="16">
        <v>45411</v>
      </c>
      <c r="L4" s="17"/>
      <c r="P4" s="4"/>
    </row>
    <row r="5" spans="1:16" s="3" customFormat="1" ht="30" customHeight="1">
      <c r="B5" s="11" t="s">
        <v>7</v>
      </c>
      <c r="C5" s="102" t="s">
        <v>374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463</v>
      </c>
      <c r="D11" s="193" t="s">
        <v>469</v>
      </c>
      <c r="E11" s="194"/>
      <c r="F11" s="45"/>
      <c r="G11" s="76"/>
      <c r="H11" s="47"/>
      <c r="I11" s="48"/>
      <c r="J11" s="50">
        <v>28000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470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 t="s">
        <v>477</v>
      </c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 t="s">
        <v>471</v>
      </c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 t="s">
        <v>472</v>
      </c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 t="s">
        <v>473</v>
      </c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126" t="s">
        <v>474</v>
      </c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127" t="s">
        <v>475</v>
      </c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128" t="s">
        <v>476</v>
      </c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28000</v>
      </c>
      <c r="M26" s="63"/>
      <c r="O26" s="4">
        <f>10000-O25</f>
        <v>165.29999999999927</v>
      </c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5">
    <mergeCell ref="B42:C42"/>
    <mergeCell ref="C4:E4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8ADDED-EE7C-46B7-85DA-71A828FE49CA}">
  <sheetPr codeName="Sheet34">
    <tabColor rgb="FF00B0F0"/>
  </sheetPr>
  <dimension ref="A1:P44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137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45400</v>
      </c>
      <c r="L4" s="4"/>
      <c r="P4" s="4"/>
    </row>
    <row r="5" spans="1:16" s="3" customFormat="1" ht="30" customHeight="1">
      <c r="B5" s="11" t="s">
        <v>7</v>
      </c>
      <c r="C5" s="183" t="s">
        <v>429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137</v>
      </c>
      <c r="D11" s="98" t="s">
        <v>372</v>
      </c>
      <c r="E11" s="44"/>
      <c r="F11" s="45">
        <v>950</v>
      </c>
      <c r="G11" s="46"/>
      <c r="H11" s="47"/>
      <c r="I11" s="48"/>
      <c r="J11" s="50">
        <f>F11*B11</f>
        <v>3800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46"/>
      <c r="H12" s="47"/>
      <c r="I12" s="48"/>
      <c r="J12" s="50"/>
      <c r="L12" s="4"/>
      <c r="M12" s="1"/>
      <c r="N12" s="1"/>
      <c r="O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5"/>
      <c r="C25" s="167" t="s">
        <v>14</v>
      </c>
      <c r="D25" s="169" t="s">
        <v>347</v>
      </c>
      <c r="E25" s="170"/>
      <c r="F25" s="173" t="s">
        <v>15</v>
      </c>
      <c r="G25" s="174"/>
      <c r="H25" s="62"/>
      <c r="I25" s="62"/>
      <c r="J25" s="158">
        <f>SUM(J11:J24)</f>
        <v>3800</v>
      </c>
      <c r="K25" s="158"/>
      <c r="L25" s="189"/>
      <c r="M25" s="63"/>
      <c r="O25" s="4"/>
    </row>
    <row r="26" spans="2:16" s="3" customFormat="1" ht="19.5" customHeight="1">
      <c r="B26" s="166"/>
      <c r="C26" s="168"/>
      <c r="D26" s="171"/>
      <c r="E26" s="172"/>
      <c r="F26" s="175"/>
      <c r="G26" s="176"/>
      <c r="H26" s="62"/>
      <c r="I26" s="62"/>
      <c r="J26" s="159"/>
      <c r="K26" s="159"/>
      <c r="L26" s="190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19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42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0"/>
      <c r="C41" s="160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B1:F1"/>
    <mergeCell ref="G1:J1"/>
    <mergeCell ref="C3:E3"/>
    <mergeCell ref="C5:E5"/>
    <mergeCell ref="D9:E9"/>
    <mergeCell ref="F9:H9"/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46967-9B21-4B41-92FE-7D9BD802E407}">
  <sheetPr codeName="Sheet35">
    <tabColor rgb="FF0070C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136</v>
      </c>
      <c r="L3" s="4"/>
      <c r="O3" s="4"/>
    </row>
    <row r="4" spans="1:16" s="3" customFormat="1" ht="30" customHeight="1">
      <c r="B4" s="11" t="s">
        <v>5</v>
      </c>
      <c r="C4" s="12" t="s">
        <v>370</v>
      </c>
      <c r="D4" s="13"/>
      <c r="E4" s="13"/>
      <c r="F4" s="14" t="s">
        <v>6</v>
      </c>
      <c r="G4" s="15"/>
      <c r="H4" s="15"/>
      <c r="I4" s="15"/>
      <c r="J4" s="16">
        <v>45400</v>
      </c>
      <c r="L4" s="4"/>
      <c r="P4" s="4"/>
    </row>
    <row r="5" spans="1:16" s="3" customFormat="1" ht="30" customHeight="1">
      <c r="B5" s="11" t="s">
        <v>7</v>
      </c>
      <c r="C5" s="183" t="s">
        <v>92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371</v>
      </c>
      <c r="E11" s="44"/>
      <c r="F11" s="45">
        <v>90000</v>
      </c>
      <c r="G11" s="46"/>
      <c r="H11" s="47"/>
      <c r="I11" s="48"/>
      <c r="J11" s="50">
        <f>F11</f>
        <v>90000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90000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CE3842-5F09-4C04-BD61-3E713E2A230A}">
  <sheetPr codeName="Sheet36">
    <tabColor rgb="FF0070C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135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100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>
        <v>23900</v>
      </c>
      <c r="M15" s="148">
        <v>0.3</v>
      </c>
      <c r="N15" s="149">
        <f>L15*M15</f>
        <v>7170</v>
      </c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105000</v>
      </c>
      <c r="K26" s="158"/>
      <c r="L26" s="189">
        <f>SUM(L11:L25)</f>
        <v>59383.51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  <c r="O30" s="8">
        <f>3372-1100-180</f>
        <v>2092</v>
      </c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E55991-4D9C-4182-BA25-01EA0219CA7C}">
  <sheetPr codeName="Sheet37">
    <tabColor rgb="FF0070C0"/>
  </sheetPr>
  <dimension ref="A1:P45"/>
  <sheetViews>
    <sheetView view="pageBreakPreview" topLeftCell="A13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134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369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105000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B44FCF-BC88-4E2E-BC51-7EC2306A30C7}">
  <sheetPr codeName="Sheet38">
    <tabColor rgb="FF0070C0"/>
  </sheetPr>
  <dimension ref="A1:P45"/>
  <sheetViews>
    <sheetView view="pageBreakPreview" topLeftCell="A16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133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99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105000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A03AA9-968D-4B9C-8C03-FF0CF2068DA6}">
  <sheetPr codeName="Sheet39">
    <tabColor rgb="FF0070C0"/>
  </sheetPr>
  <dimension ref="A1:P45"/>
  <sheetViews>
    <sheetView view="pageBreakPreview" topLeftCell="A7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132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96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105000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74657-3730-44F1-A102-77A1F9BB9F37}">
  <sheetPr codeName="Sheet40">
    <tabColor rgb="FF0070C0"/>
  </sheetPr>
  <dimension ref="A1:P45"/>
  <sheetViews>
    <sheetView view="pageBreakPreview" topLeftCell="A7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131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114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105000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E7BE5F-0E1F-42D5-AEF3-C0A0C1F57599}">
  <sheetPr codeName="Sheet41">
    <tabColor rgb="FF0070C0"/>
  </sheetPr>
  <dimension ref="A1:P45"/>
  <sheetViews>
    <sheetView view="pageBreakPreview" topLeftCell="A2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130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105000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C5BB91-767F-461B-9645-1AD21C112B8B}">
  <sheetPr codeName="Sheet42">
    <tabColor rgb="FF0070C0"/>
  </sheetPr>
  <dimension ref="A1:P45"/>
  <sheetViews>
    <sheetView view="pageBreakPreview" topLeftCell="A2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129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92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105000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FDC84-4778-4C1D-99ED-0141487BF3C5}">
  <sheetPr>
    <tabColor rgb="FF00B0F0"/>
  </sheetPr>
  <dimension ref="A1:P45"/>
  <sheetViews>
    <sheetView view="pageBreakPreview" zoomScale="70" zoomScaleNormal="100" zoomScaleSheetLayoutView="70" workbookViewId="0">
      <selection activeCell="C33" sqref="C33:C3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2" t="s">
        <v>676</v>
      </c>
      <c r="D3" s="182"/>
      <c r="E3" s="182"/>
      <c r="F3" s="10" t="s">
        <v>3</v>
      </c>
      <c r="G3" s="10"/>
      <c r="H3" s="10"/>
      <c r="I3" s="10"/>
      <c r="J3" s="75">
        <v>209</v>
      </c>
      <c r="O3" s="4"/>
    </row>
    <row r="4" spans="1:16" s="3" customFormat="1" ht="30" customHeight="1">
      <c r="B4" s="11" t="s">
        <v>5</v>
      </c>
      <c r="C4" s="12" t="s">
        <v>675</v>
      </c>
      <c r="D4" s="13"/>
      <c r="E4" s="13"/>
      <c r="F4" s="14" t="s">
        <v>6</v>
      </c>
      <c r="G4" s="15"/>
      <c r="H4" s="15"/>
      <c r="I4" s="15"/>
      <c r="J4" s="16">
        <v>45468</v>
      </c>
      <c r="L4" s="17"/>
      <c r="P4" s="4"/>
    </row>
    <row r="5" spans="1:16" s="3" customFormat="1" ht="30" customHeight="1">
      <c r="B5" s="11" t="s">
        <v>7</v>
      </c>
      <c r="C5" s="183" t="s">
        <v>575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158</v>
      </c>
      <c r="D11" s="43" t="s">
        <v>674</v>
      </c>
      <c r="E11" s="44"/>
      <c r="F11" s="45">
        <v>6000</v>
      </c>
      <c r="G11" s="46"/>
      <c r="H11" s="47"/>
      <c r="I11" s="48"/>
      <c r="J11" s="45">
        <f>F11*B11</f>
        <v>12000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45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12000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5C4DD1-B30D-4D53-8804-4B75E7BE6E81}">
  <sheetPr codeName="Sheet43">
    <tabColor rgb="FF00B0F0"/>
  </sheetPr>
  <dimension ref="A1:P45"/>
  <sheetViews>
    <sheetView view="pageBreakPreview" zoomScale="70" zoomScaleNormal="100" zoomScaleSheetLayoutView="7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2" t="s">
        <v>360</v>
      </c>
      <c r="D3" s="182"/>
      <c r="E3" s="182"/>
      <c r="F3" s="10" t="s">
        <v>3</v>
      </c>
      <c r="G3" s="10"/>
      <c r="H3" s="10"/>
      <c r="I3" s="10"/>
      <c r="J3" s="75">
        <v>128</v>
      </c>
      <c r="O3" s="4"/>
    </row>
    <row r="4" spans="1:16" s="3" customFormat="1" ht="30" customHeight="1">
      <c r="B4" s="11" t="s">
        <v>5</v>
      </c>
      <c r="C4" s="12" t="s">
        <v>103</v>
      </c>
      <c r="D4" s="13"/>
      <c r="E4" s="13"/>
      <c r="F4" s="14" t="s">
        <v>6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1" t="s">
        <v>7</v>
      </c>
      <c r="C5" s="183" t="s">
        <v>30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>
        <v>240</v>
      </c>
      <c r="C11" s="42" t="s">
        <v>104</v>
      </c>
      <c r="D11" s="43" t="s">
        <v>105</v>
      </c>
      <c r="E11" s="44"/>
      <c r="F11" s="45">
        <v>20</v>
      </c>
      <c r="G11" s="46"/>
      <c r="H11" s="47"/>
      <c r="I11" s="48"/>
      <c r="J11" s="45">
        <f>F11*B11</f>
        <v>4800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50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4800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5E292A-07C2-476C-90F6-0F368D9C4E58}">
  <sheetPr codeName="Sheet44">
    <tabColor rgb="FFC00000"/>
  </sheetPr>
  <dimension ref="A1:P45"/>
  <sheetViews>
    <sheetView showWhiteSpace="0" view="pageBreakPreview" topLeftCell="A3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66</v>
      </c>
      <c r="D3" s="195"/>
      <c r="E3" s="195"/>
      <c r="F3" s="10" t="s">
        <v>3</v>
      </c>
      <c r="G3" s="10"/>
      <c r="H3" s="10"/>
      <c r="I3" s="10"/>
      <c r="J3" s="75">
        <v>127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359</v>
      </c>
      <c r="D4" s="13"/>
      <c r="E4" s="13"/>
      <c r="F4" s="14" t="s">
        <v>6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358</v>
      </c>
      <c r="E11" s="197"/>
      <c r="F11" s="45">
        <v>249.9</v>
      </c>
      <c r="G11" s="76"/>
      <c r="H11" s="47"/>
      <c r="I11" s="48"/>
      <c r="J11" s="50">
        <f>F11</f>
        <v>249.9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82" t="s">
        <v>357</v>
      </c>
      <c r="E12" s="44"/>
      <c r="F12" s="45">
        <v>204.5</v>
      </c>
      <c r="G12" s="76"/>
      <c r="H12" s="47"/>
      <c r="I12" s="48"/>
      <c r="J12" s="50">
        <f>F12</f>
        <v>204.5</v>
      </c>
      <c r="M12" s="1"/>
      <c r="N12" s="1"/>
      <c r="O12" s="4"/>
    </row>
    <row r="13" spans="1:16" s="3" customFormat="1" ht="20.100000000000001" customHeight="1">
      <c r="B13" s="41"/>
      <c r="C13" s="42"/>
      <c r="D13" s="82" t="s">
        <v>68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69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70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 t="s">
        <v>71</v>
      </c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N24" s="3">
        <f>15*160</f>
        <v>2400</v>
      </c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454.4</v>
      </c>
      <c r="M26" s="63"/>
      <c r="N26" s="3">
        <v>0</v>
      </c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9">
    <mergeCell ref="B42:C42"/>
    <mergeCell ref="D24:E24"/>
    <mergeCell ref="B26:B27"/>
    <mergeCell ref="C26:C27"/>
    <mergeCell ref="D26:E27"/>
    <mergeCell ref="F26:G27"/>
    <mergeCell ref="J26:J27"/>
    <mergeCell ref="D10:E10"/>
    <mergeCell ref="F10:G10"/>
    <mergeCell ref="D11:E11"/>
    <mergeCell ref="D18:E18"/>
    <mergeCell ref="D22:E22"/>
    <mergeCell ref="D23:E23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F067E4-13C9-45EF-AA2D-F6E56F257144}">
  <sheetPr codeName="Sheet45">
    <tabColor rgb="FFC0000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5" t="s">
        <v>277</v>
      </c>
      <c r="D3" s="195"/>
      <c r="E3" s="195"/>
      <c r="F3" s="10" t="s">
        <v>3</v>
      </c>
      <c r="G3" s="10"/>
      <c r="H3" s="10"/>
      <c r="I3" s="10"/>
      <c r="J3" s="75">
        <v>126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356</v>
      </c>
      <c r="D4" s="13"/>
      <c r="E4" s="13"/>
      <c r="F4" s="14" t="s">
        <v>6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1" t="s">
        <v>7</v>
      </c>
      <c r="C5" s="183" t="s">
        <v>38</v>
      </c>
      <c r="D5" s="183"/>
      <c r="E5" s="18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6" t="s">
        <v>273</v>
      </c>
      <c r="E11" s="197"/>
      <c r="F11" s="45">
        <v>142.08000000000001</v>
      </c>
      <c r="G11" s="76"/>
      <c r="H11" s="47"/>
      <c r="I11" s="48"/>
      <c r="J11" s="50">
        <f>F11</f>
        <v>142.08000000000001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6"/>
      <c r="E17" s="197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6"/>
      <c r="E18" s="197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6"/>
      <c r="E22" s="197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6"/>
      <c r="E23" s="197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6"/>
      <c r="E24" s="197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142.08000000000001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B42:C42"/>
    <mergeCell ref="D23:E23"/>
    <mergeCell ref="D24:E24"/>
    <mergeCell ref="B26:B27"/>
    <mergeCell ref="C26:C27"/>
    <mergeCell ref="D26:E27"/>
    <mergeCell ref="F26:G27"/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5FC787-5365-49E5-8DCD-66E6E69C3353}">
  <sheetPr codeName="Sheet46">
    <tabColor rgb="FF0070C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/>
      <c r="D3" s="187"/>
      <c r="E3" s="187"/>
      <c r="F3" s="10" t="s">
        <v>3</v>
      </c>
      <c r="G3" s="10"/>
      <c r="H3" s="10"/>
      <c r="I3" s="10"/>
      <c r="J3" s="75">
        <v>125</v>
      </c>
      <c r="L3" s="4"/>
      <c r="O3" s="4"/>
    </row>
    <row r="4" spans="1:16" s="3" customFormat="1" ht="30" customHeight="1">
      <c r="B4" s="11" t="s">
        <v>5</v>
      </c>
      <c r="C4" s="12" t="s">
        <v>349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350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351</v>
      </c>
      <c r="E11" s="44"/>
      <c r="F11" s="45">
        <v>5000</v>
      </c>
      <c r="G11" s="46"/>
      <c r="H11" s="47"/>
      <c r="I11" s="48"/>
      <c r="J11" s="50">
        <f>F11</f>
        <v>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352</v>
      </c>
      <c r="E12" s="44"/>
      <c r="F12" s="45">
        <v>5000</v>
      </c>
      <c r="G12" s="76"/>
      <c r="H12" s="47"/>
      <c r="I12" s="48"/>
      <c r="J12" s="50">
        <f>F12</f>
        <v>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353</v>
      </c>
      <c r="E13" s="44"/>
      <c r="F13" s="45">
        <v>5000</v>
      </c>
      <c r="G13" s="89"/>
      <c r="H13" s="47"/>
      <c r="I13" s="48"/>
      <c r="J13" s="50">
        <f>F13</f>
        <v>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354</v>
      </c>
      <c r="E14" s="44"/>
      <c r="F14" s="45">
        <v>5000</v>
      </c>
      <c r="G14" s="76"/>
      <c r="H14" s="47"/>
      <c r="I14" s="48"/>
      <c r="J14" s="50">
        <f>F14</f>
        <v>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355</v>
      </c>
      <c r="E15" s="44"/>
      <c r="F15" s="45">
        <v>5000</v>
      </c>
      <c r="G15" s="89"/>
      <c r="H15" s="47"/>
      <c r="I15" s="48"/>
      <c r="J15" s="50">
        <f>F15</f>
        <v>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25000</v>
      </c>
      <c r="K26" s="158"/>
      <c r="L26" s="189">
        <f>SUM(L11:L25)</f>
        <v>35483.51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993391-0DD0-4D7B-8A06-03E058F20A86}">
  <sheetPr codeName="Sheet47"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348</v>
      </c>
      <c r="D3" s="187"/>
      <c r="E3" s="187"/>
      <c r="F3" s="10" t="s">
        <v>3</v>
      </c>
      <c r="G3" s="10"/>
      <c r="H3" s="10"/>
      <c r="I3" s="10"/>
      <c r="J3" s="75">
        <v>124</v>
      </c>
      <c r="L3" s="4"/>
      <c r="O3" s="4"/>
    </row>
    <row r="4" spans="1:16" s="3" customFormat="1" ht="30" customHeight="1">
      <c r="B4" s="11" t="s">
        <v>5</v>
      </c>
      <c r="C4" s="12" t="s">
        <v>390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279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101" t="s">
        <v>391</v>
      </c>
      <c r="E11" s="44"/>
      <c r="F11" s="45">
        <v>138500</v>
      </c>
      <c r="G11" s="46"/>
      <c r="H11" s="47"/>
      <c r="I11" s="48"/>
      <c r="J11" s="50">
        <f>F11</f>
        <v>138500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138500</v>
      </c>
      <c r="K26" s="158"/>
      <c r="L26" s="189">
        <f>SUM(L11:L25)</f>
        <v>33032.51</v>
      </c>
      <c r="M26" s="63"/>
      <c r="O26" s="4"/>
    </row>
    <row r="27" spans="2:16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K27" s="159"/>
      <c r="L27" s="190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78E65F-8A79-4569-A666-DF761C1BA942}">
  <sheetPr codeName="Sheet48">
    <tabColor rgb="FF00B0F0"/>
  </sheetPr>
  <dimension ref="A1:P48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7" t="s">
        <v>150</v>
      </c>
      <c r="D3" s="187"/>
      <c r="E3" s="187"/>
      <c r="F3" s="10" t="s">
        <v>3</v>
      </c>
      <c r="G3" s="10"/>
      <c r="H3" s="10"/>
      <c r="I3" s="10"/>
      <c r="J3" s="75">
        <v>123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3" t="s">
        <v>107</v>
      </c>
      <c r="D5" s="183"/>
      <c r="E5" s="183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L10" s="40"/>
      <c r="P10" s="40"/>
    </row>
    <row r="11" spans="1:16" s="3" customFormat="1" ht="20.100000000000001" customHeight="1">
      <c r="B11" s="41">
        <v>400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 t="shared" ref="J11:J16" si="0">F11*B11</f>
        <v>82000</v>
      </c>
      <c r="L11" s="4"/>
      <c r="M11" s="1"/>
      <c r="N11" s="1"/>
      <c r="O11" s="4"/>
    </row>
    <row r="12" spans="1:16" s="3" customFormat="1" ht="20.100000000000001" customHeight="1">
      <c r="B12" s="41">
        <v>160</v>
      </c>
      <c r="C12" s="42" t="s">
        <v>137</v>
      </c>
      <c r="D12" s="98" t="s">
        <v>281</v>
      </c>
      <c r="E12" s="44"/>
      <c r="F12" s="45">
        <v>270</v>
      </c>
      <c r="G12" s="46"/>
      <c r="H12" s="47"/>
      <c r="I12" s="48"/>
      <c r="J12" s="50">
        <f t="shared" si="0"/>
        <v>43200</v>
      </c>
      <c r="L12" s="4"/>
      <c r="M12" s="1"/>
      <c r="N12" s="1"/>
      <c r="O12" s="4"/>
    </row>
    <row r="13" spans="1:16" s="3" customFormat="1" ht="20.100000000000001" customHeight="1">
      <c r="B13" s="41">
        <v>1</v>
      </c>
      <c r="C13" s="42" t="s">
        <v>158</v>
      </c>
      <c r="D13" s="43" t="s">
        <v>344</v>
      </c>
      <c r="E13" s="44"/>
      <c r="F13" s="45">
        <v>550</v>
      </c>
      <c r="G13" s="89"/>
      <c r="H13" s="47"/>
      <c r="I13" s="48"/>
      <c r="J13" s="50">
        <f t="shared" si="0"/>
        <v>550</v>
      </c>
      <c r="L13" s="93"/>
      <c r="M13" s="5"/>
      <c r="O13" s="90"/>
      <c r="P13" s="49"/>
    </row>
    <row r="14" spans="1:16" s="3" customFormat="1" ht="20.100000000000001" customHeight="1">
      <c r="B14" s="41">
        <v>30</v>
      </c>
      <c r="C14" s="42" t="s">
        <v>137</v>
      </c>
      <c r="D14" s="43" t="s">
        <v>288</v>
      </c>
      <c r="E14" s="44"/>
      <c r="F14" s="45">
        <v>175</v>
      </c>
      <c r="G14" s="76"/>
      <c r="H14" s="47"/>
      <c r="I14" s="48"/>
      <c r="J14" s="50">
        <f t="shared" si="0"/>
        <v>5250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3</v>
      </c>
      <c r="C15" s="42" t="s">
        <v>265</v>
      </c>
      <c r="D15" s="43" t="s">
        <v>345</v>
      </c>
      <c r="E15" s="44"/>
      <c r="F15" s="45">
        <v>78</v>
      </c>
      <c r="G15" s="89"/>
      <c r="H15" s="47"/>
      <c r="I15" s="48"/>
      <c r="J15" s="50">
        <f t="shared" si="0"/>
        <v>234</v>
      </c>
      <c r="L15" s="4"/>
      <c r="M15" s="1"/>
      <c r="N15" s="1"/>
      <c r="O15" s="4"/>
    </row>
    <row r="16" spans="1:16" s="3" customFormat="1" ht="20.100000000000001" customHeight="1">
      <c r="B16" s="41">
        <v>3</v>
      </c>
      <c r="C16" s="42" t="s">
        <v>265</v>
      </c>
      <c r="D16" s="43" t="s">
        <v>346</v>
      </c>
      <c r="E16" s="44"/>
      <c r="F16" s="45">
        <v>70</v>
      </c>
      <c r="G16" s="46"/>
      <c r="H16" s="47"/>
      <c r="I16" s="48"/>
      <c r="J16" s="50">
        <f t="shared" si="0"/>
        <v>210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61"/>
      <c r="L28" s="4"/>
      <c r="M28" s="5"/>
      <c r="O28" s="4"/>
    </row>
    <row r="29" spans="2:16" s="3" customFormat="1" ht="24" customHeight="1">
      <c r="B29" s="165"/>
      <c r="C29" s="167" t="s">
        <v>14</v>
      </c>
      <c r="D29" s="169" t="s">
        <v>347</v>
      </c>
      <c r="E29" s="170"/>
      <c r="F29" s="173" t="s">
        <v>15</v>
      </c>
      <c r="G29" s="174"/>
      <c r="H29" s="62"/>
      <c r="I29" s="62"/>
      <c r="J29" s="158">
        <f>SUM(J11:J28)</f>
        <v>131444</v>
      </c>
      <c r="K29" s="158"/>
      <c r="L29" s="189"/>
      <c r="M29" s="63"/>
      <c r="O29" s="4"/>
    </row>
    <row r="30" spans="2:16" s="3" customFormat="1" ht="19.5" customHeight="1">
      <c r="B30" s="166"/>
      <c r="C30" s="168"/>
      <c r="D30" s="171"/>
      <c r="E30" s="172"/>
      <c r="F30" s="175"/>
      <c r="G30" s="176"/>
      <c r="H30" s="62"/>
      <c r="I30" s="62"/>
      <c r="J30" s="159"/>
      <c r="K30" s="159"/>
      <c r="L30" s="190"/>
      <c r="M30" s="5"/>
      <c r="O30" s="4"/>
    </row>
    <row r="31" spans="2:16" ht="3.75" customHeight="1">
      <c r="E31" s="64"/>
      <c r="F31" s="64"/>
    </row>
    <row r="32" spans="2:16" ht="3.75" customHeight="1">
      <c r="E32" s="64"/>
      <c r="F32" s="64"/>
    </row>
    <row r="33" spans="2:16">
      <c r="E33" s="65"/>
      <c r="F33" s="65"/>
      <c r="G33" s="65"/>
      <c r="H33" s="65"/>
      <c r="I33" s="65"/>
      <c r="J33" s="65"/>
      <c r="L33" s="5"/>
      <c r="M33" s="63"/>
    </row>
    <row r="34" spans="2:16">
      <c r="C34" s="66" t="s">
        <v>16</v>
      </c>
      <c r="D34" s="67"/>
      <c r="E34" s="67" t="s">
        <v>17</v>
      </c>
      <c r="F34" s="67"/>
      <c r="G34" s="68"/>
      <c r="H34" s="67"/>
      <c r="I34" s="67"/>
      <c r="J34" s="67" t="s">
        <v>18</v>
      </c>
      <c r="L34" s="5"/>
    </row>
    <row r="35" spans="2:16">
      <c r="B35" s="69"/>
      <c r="C35" s="67"/>
      <c r="D35" s="67"/>
      <c r="E35" s="67"/>
      <c r="F35" s="67"/>
      <c r="G35" s="68"/>
      <c r="H35" s="67"/>
      <c r="I35" s="67"/>
      <c r="J35" s="67"/>
      <c r="L35" s="5"/>
    </row>
    <row r="36" spans="2:16" ht="15" customHeight="1">
      <c r="B36" s="7"/>
      <c r="C36" s="67" t="s">
        <v>19</v>
      </c>
      <c r="D36" s="67"/>
      <c r="E36" s="67" t="s">
        <v>19</v>
      </c>
      <c r="F36" s="67"/>
      <c r="G36" s="67"/>
      <c r="H36" s="67"/>
      <c r="I36" s="67"/>
      <c r="J36" s="67" t="s">
        <v>20</v>
      </c>
      <c r="L36" s="5"/>
      <c r="M36" s="7"/>
    </row>
    <row r="37" spans="2:16">
      <c r="B37" s="7"/>
      <c r="C37" s="67" t="s">
        <v>42</v>
      </c>
      <c r="D37" s="66"/>
      <c r="E37" s="68" t="s">
        <v>22</v>
      </c>
      <c r="F37" s="67"/>
      <c r="G37" s="67"/>
      <c r="H37" s="67"/>
      <c r="I37" s="67"/>
      <c r="J37" s="68" t="s">
        <v>23</v>
      </c>
      <c r="L37" s="5"/>
      <c r="M37" s="70"/>
    </row>
    <row r="38" spans="2:16">
      <c r="B38" s="7"/>
      <c r="C38" s="67"/>
      <c r="D38" s="66"/>
      <c r="E38" s="68"/>
      <c r="F38" s="67"/>
      <c r="G38" s="67"/>
      <c r="H38" s="67"/>
      <c r="I38" s="67"/>
      <c r="J38" s="68"/>
      <c r="L38" s="5"/>
      <c r="M38" s="70"/>
    </row>
    <row r="39" spans="2:16">
      <c r="B39" s="7"/>
      <c r="C39" s="68"/>
      <c r="D39" s="68"/>
      <c r="E39" s="67"/>
      <c r="F39" s="67"/>
      <c r="G39" s="67"/>
      <c r="H39" s="67"/>
      <c r="I39" s="67"/>
      <c r="J39" s="67"/>
      <c r="L39" s="5"/>
      <c r="N39" s="70"/>
      <c r="O39" s="5"/>
      <c r="P39" s="8"/>
    </row>
    <row r="40" spans="2:16">
      <c r="B40" s="69"/>
      <c r="C40" s="67" t="s">
        <v>24</v>
      </c>
      <c r="D40" s="67"/>
      <c r="E40" s="67"/>
      <c r="F40" s="67"/>
      <c r="G40" s="68"/>
      <c r="H40" s="67"/>
      <c r="I40" s="67"/>
      <c r="J40" s="67" t="s">
        <v>25</v>
      </c>
      <c r="L40" s="5"/>
      <c r="O40" s="5"/>
      <c r="P40" s="8"/>
    </row>
    <row r="41" spans="2:16">
      <c r="B41" s="7"/>
      <c r="C41" s="68"/>
      <c r="D41" s="68"/>
      <c r="E41" s="67"/>
      <c r="F41" s="67"/>
      <c r="G41" s="67"/>
      <c r="H41" s="67"/>
      <c r="I41" s="67"/>
      <c r="J41" s="67"/>
      <c r="L41" s="5"/>
    </row>
    <row r="42" spans="2:16">
      <c r="C42" s="68"/>
      <c r="D42" s="68"/>
      <c r="E42" s="67"/>
      <c r="F42" s="67"/>
      <c r="G42" s="67"/>
      <c r="H42" s="67"/>
      <c r="I42" s="67"/>
      <c r="J42" s="67"/>
      <c r="L42" s="5"/>
    </row>
    <row r="43" spans="2:16" ht="15" customHeight="1">
      <c r="B43" s="7"/>
      <c r="C43" s="67" t="s">
        <v>26</v>
      </c>
      <c r="D43" s="67"/>
      <c r="E43" s="67"/>
      <c r="F43" s="67"/>
      <c r="G43" s="71"/>
      <c r="H43" s="71"/>
      <c r="I43" s="71"/>
      <c r="J43" s="71"/>
      <c r="L43" s="5"/>
    </row>
    <row r="44" spans="2:16" ht="16.5">
      <c r="B44" s="5"/>
      <c r="C44" s="67" t="s">
        <v>43</v>
      </c>
      <c r="D44" s="67"/>
      <c r="E44" s="67"/>
      <c r="F44" s="67"/>
      <c r="G44" s="67"/>
      <c r="H44" s="67"/>
      <c r="I44" s="67"/>
      <c r="J44" s="72" t="s">
        <v>27</v>
      </c>
      <c r="L44" s="5"/>
      <c r="M44" s="73"/>
    </row>
    <row r="45" spans="2:16">
      <c r="B45" s="160"/>
      <c r="C45" s="160"/>
      <c r="E45" s="7"/>
      <c r="F45" s="7"/>
      <c r="L45" s="5"/>
    </row>
    <row r="46" spans="2:16" ht="15.75" customHeight="1">
      <c r="L46" s="5"/>
    </row>
    <row r="48" spans="2:16" ht="15">
      <c r="M48" s="74"/>
    </row>
  </sheetData>
  <mergeCells count="16">
    <mergeCell ref="B1:F1"/>
    <mergeCell ref="G1:J1"/>
    <mergeCell ref="C3:E3"/>
    <mergeCell ref="C5:E5"/>
    <mergeCell ref="D9:E9"/>
    <mergeCell ref="F9:H9"/>
    <mergeCell ref="J29:J30"/>
    <mergeCell ref="K29:K30"/>
    <mergeCell ref="L29:L30"/>
    <mergeCell ref="B45:C45"/>
    <mergeCell ref="D10:E10"/>
    <mergeCell ref="F10:G10"/>
    <mergeCell ref="B29:B30"/>
    <mergeCell ref="C29:C30"/>
    <mergeCell ref="D29:E30"/>
    <mergeCell ref="F29:G30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8BA56-874D-4C83-945F-B12576E3EA9F}">
  <sheetPr codeName="Sheet49">
    <tabColor rgb="FFC00000"/>
  </sheetPr>
  <dimension ref="A1:P45"/>
  <sheetViews>
    <sheetView view="pageBreakPreview" zoomScale="90" zoomScaleNormal="100" zoomScaleSheetLayoutView="90" workbookViewId="0">
      <selection activeCell="N25" sqref="N2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/>
      <c r="D3" s="188"/>
      <c r="E3" s="188"/>
      <c r="F3" s="10" t="s">
        <v>3</v>
      </c>
      <c r="G3" s="10"/>
      <c r="H3" s="10"/>
      <c r="I3" s="10"/>
      <c r="J3" s="75">
        <v>122</v>
      </c>
      <c r="O3" s="4"/>
    </row>
    <row r="4" spans="1:16" s="3" customFormat="1" ht="30" customHeight="1">
      <c r="B4" s="11" t="s">
        <v>5</v>
      </c>
      <c r="C4" s="12" t="s">
        <v>335</v>
      </c>
      <c r="D4" s="13"/>
      <c r="E4" s="13"/>
      <c r="F4" s="14" t="s">
        <v>6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1" t="s">
        <v>7</v>
      </c>
      <c r="C5" s="79" t="s">
        <v>336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337</v>
      </c>
      <c r="E11" s="194"/>
      <c r="F11" s="45">
        <v>500</v>
      </c>
      <c r="G11" s="76"/>
      <c r="H11" s="47"/>
      <c r="I11" s="48"/>
      <c r="J11" s="50">
        <f t="shared" ref="J11:J16" si="0">F11</f>
        <v>500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338</v>
      </c>
      <c r="E12" s="44"/>
      <c r="F12" s="45">
        <v>7000</v>
      </c>
      <c r="G12" s="76"/>
      <c r="H12" s="47"/>
      <c r="I12" s="48"/>
      <c r="J12" s="50">
        <f t="shared" si="0"/>
        <v>7000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339</v>
      </c>
      <c r="E13" s="44"/>
      <c r="F13" s="45">
        <v>3000</v>
      </c>
      <c r="G13" s="76"/>
      <c r="H13" s="47"/>
      <c r="I13" s="48"/>
      <c r="J13" s="50">
        <f t="shared" si="0"/>
        <v>3000</v>
      </c>
      <c r="M13" s="1"/>
      <c r="N13" s="1"/>
      <c r="O13" s="4"/>
    </row>
    <row r="14" spans="1:16" s="3" customFormat="1" ht="20.100000000000001" customHeight="1">
      <c r="B14" s="41"/>
      <c r="C14" s="42"/>
      <c r="D14" s="77" t="s">
        <v>340</v>
      </c>
      <c r="E14" s="44"/>
      <c r="F14" s="45">
        <v>10000</v>
      </c>
      <c r="G14" s="46"/>
      <c r="H14" s="47"/>
      <c r="I14" s="48"/>
      <c r="J14" s="50">
        <f t="shared" si="0"/>
        <v>10000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 t="s">
        <v>341</v>
      </c>
      <c r="E15" s="44"/>
      <c r="F15" s="45">
        <v>1500</v>
      </c>
      <c r="G15" s="46"/>
      <c r="H15" s="47"/>
      <c r="I15" s="48"/>
      <c r="J15" s="50">
        <f t="shared" si="0"/>
        <v>1500</v>
      </c>
      <c r="M15" s="1"/>
      <c r="N15" s="1"/>
      <c r="O15" s="4"/>
    </row>
    <row r="16" spans="1:16" s="3" customFormat="1" ht="20.100000000000001" customHeight="1">
      <c r="B16" s="41"/>
      <c r="C16" s="42"/>
      <c r="D16" s="77" t="s">
        <v>342</v>
      </c>
      <c r="E16" s="44"/>
      <c r="F16" s="45">
        <v>8000</v>
      </c>
      <c r="G16" s="46"/>
      <c r="H16" s="47"/>
      <c r="I16" s="48"/>
      <c r="J16" s="50">
        <f t="shared" si="0"/>
        <v>8000</v>
      </c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N24" s="3">
        <f>700-550</f>
        <v>150</v>
      </c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30000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D8A251-CC20-4E9C-A80E-67789FE01707}">
  <sheetPr codeName="Sheet50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331</v>
      </c>
      <c r="D3" s="188"/>
      <c r="E3" s="188"/>
      <c r="F3" s="10" t="s">
        <v>3</v>
      </c>
      <c r="G3" s="10"/>
      <c r="H3" s="10"/>
      <c r="I3" s="10"/>
      <c r="J3" s="75">
        <v>121</v>
      </c>
      <c r="O3" s="4"/>
    </row>
    <row r="4" spans="1:16" s="3" customFormat="1" ht="30" customHeight="1">
      <c r="B4" s="11" t="s">
        <v>5</v>
      </c>
      <c r="C4" s="12" t="s">
        <v>332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334</v>
      </c>
      <c r="E13" s="44"/>
      <c r="F13" s="45">
        <v>2500</v>
      </c>
      <c r="G13" s="76"/>
      <c r="H13" s="47"/>
      <c r="I13" s="48"/>
      <c r="J13" s="50">
        <f>F13</f>
        <v>2500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78C673-AB3E-4B49-A793-FC8ABDE01203}">
  <sheetPr codeName="Sheet51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239</v>
      </c>
      <c r="D3" s="188"/>
      <c r="E3" s="188"/>
      <c r="F3" s="10" t="s">
        <v>3</v>
      </c>
      <c r="G3" s="10"/>
      <c r="H3" s="10"/>
      <c r="I3" s="10"/>
      <c r="J3" s="75">
        <v>120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328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7000</v>
      </c>
      <c r="M26" s="63"/>
      <c r="O26" s="4">
        <f>10000-O25</f>
        <v>165.29999999999927</v>
      </c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C6B2D1-5EAC-4296-9F6F-F529B9C1207E}">
  <sheetPr codeName="Sheet52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7" t="s">
        <v>0</v>
      </c>
      <c r="C1" s="178"/>
      <c r="D1" s="178"/>
      <c r="E1" s="178"/>
      <c r="F1" s="178"/>
      <c r="G1" s="179" t="s">
        <v>1</v>
      </c>
      <c r="H1" s="180"/>
      <c r="I1" s="180"/>
      <c r="J1" s="181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8" t="s">
        <v>192</v>
      </c>
      <c r="D3" s="188"/>
      <c r="E3" s="188"/>
      <c r="F3" s="10" t="s">
        <v>3</v>
      </c>
      <c r="G3" s="10"/>
      <c r="H3" s="10"/>
      <c r="I3" s="10"/>
      <c r="J3" s="75">
        <v>119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195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4" t="s">
        <v>11</v>
      </c>
      <c r="E9" s="185"/>
      <c r="F9" s="184" t="s">
        <v>12</v>
      </c>
      <c r="G9" s="186"/>
      <c r="H9" s="186"/>
      <c r="I9" s="32"/>
      <c r="J9" s="33" t="s">
        <v>13</v>
      </c>
      <c r="P9" s="34"/>
    </row>
    <row r="10" spans="1:16" s="24" customFormat="1" ht="2.25" customHeight="1">
      <c r="B10" s="35"/>
      <c r="C10" s="36"/>
      <c r="D10" s="161"/>
      <c r="E10" s="162"/>
      <c r="F10" s="163"/>
      <c r="G10" s="164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195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330</v>
      </c>
      <c r="E13" s="44"/>
      <c r="F13" s="45">
        <v>9000</v>
      </c>
      <c r="G13" s="46"/>
      <c r="H13" s="47"/>
      <c r="I13" s="48"/>
      <c r="J13" s="50">
        <f>F13</f>
        <v>9000</v>
      </c>
      <c r="L13" s="1"/>
      <c r="M13" s="1"/>
      <c r="N13" s="1">
        <f>46*180</f>
        <v>8280</v>
      </c>
      <c r="O13" s="4">
        <f>7000/180</f>
        <v>38.888888888888886</v>
      </c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>
        <f>39*180</f>
        <v>7020</v>
      </c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5"/>
      <c r="C26" s="167" t="s">
        <v>14</v>
      </c>
      <c r="D26" s="169"/>
      <c r="E26" s="170"/>
      <c r="F26" s="173" t="s">
        <v>15</v>
      </c>
      <c r="G26" s="174"/>
      <c r="H26" s="62"/>
      <c r="I26" s="62"/>
      <c r="J26" s="158">
        <f>SUM(J11:J25)</f>
        <v>9000</v>
      </c>
      <c r="M26" s="63"/>
      <c r="O26" s="4"/>
    </row>
    <row r="27" spans="2:15" s="3" customFormat="1" ht="19.5" customHeight="1">
      <c r="B27" s="166"/>
      <c r="C27" s="168"/>
      <c r="D27" s="171"/>
      <c r="E27" s="172"/>
      <c r="F27" s="175"/>
      <c r="G27" s="176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0"/>
      <c r="C42" s="160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175</vt:i4>
      </vt:variant>
      <vt:variant>
        <vt:lpstr>Named Ranges</vt:lpstr>
      </vt:variant>
      <vt:variant>
        <vt:i4>174</vt:i4>
      </vt:variant>
    </vt:vector>
  </HeadingPairs>
  <TitlesOfParts>
    <vt:vector size="349" baseType="lpstr">
      <vt:lpstr>217</vt:lpstr>
      <vt:lpstr>216</vt:lpstr>
      <vt:lpstr>215</vt:lpstr>
      <vt:lpstr>214</vt:lpstr>
      <vt:lpstr>213</vt:lpstr>
      <vt:lpstr>212</vt:lpstr>
      <vt:lpstr>211</vt:lpstr>
      <vt:lpstr>210</vt:lpstr>
      <vt:lpstr>209</vt:lpstr>
      <vt:lpstr>208</vt:lpstr>
      <vt:lpstr>207</vt:lpstr>
      <vt:lpstr>206</vt:lpstr>
      <vt:lpstr>205</vt:lpstr>
      <vt:lpstr>204</vt:lpstr>
      <vt:lpstr>203</vt:lpstr>
      <vt:lpstr>202</vt:lpstr>
      <vt:lpstr>201</vt:lpstr>
      <vt:lpstr>200</vt:lpstr>
      <vt:lpstr>199</vt:lpstr>
      <vt:lpstr>198</vt:lpstr>
      <vt:lpstr>197</vt:lpstr>
      <vt:lpstr>196</vt:lpstr>
      <vt:lpstr>195</vt:lpstr>
      <vt:lpstr>194</vt:lpstr>
      <vt:lpstr>193</vt:lpstr>
      <vt:lpstr>192</vt:lpstr>
      <vt:lpstr>191</vt:lpstr>
      <vt:lpstr>190</vt:lpstr>
      <vt:lpstr>189</vt:lpstr>
      <vt:lpstr>188</vt:lpstr>
      <vt:lpstr>187</vt:lpstr>
      <vt:lpstr>186</vt:lpstr>
      <vt:lpstr>185</vt:lpstr>
      <vt:lpstr>184</vt:lpstr>
      <vt:lpstr>183</vt:lpstr>
      <vt:lpstr>182</vt:lpstr>
      <vt:lpstr>181</vt:lpstr>
      <vt:lpstr>180</vt:lpstr>
      <vt:lpstr>179</vt:lpstr>
      <vt:lpstr>178</vt:lpstr>
      <vt:lpstr>177</vt:lpstr>
      <vt:lpstr>176</vt:lpstr>
      <vt:lpstr>175</vt:lpstr>
      <vt:lpstr>174</vt:lpstr>
      <vt:lpstr>173</vt:lpstr>
      <vt:lpstr>172</vt:lpstr>
      <vt:lpstr>171</vt:lpstr>
      <vt:lpstr>170</vt:lpstr>
      <vt:lpstr>169</vt:lpstr>
      <vt:lpstr>168</vt:lpstr>
      <vt:lpstr>167</vt:lpstr>
      <vt:lpstr>166</vt:lpstr>
      <vt:lpstr>165</vt:lpstr>
      <vt:lpstr>164</vt:lpstr>
      <vt:lpstr>163</vt:lpstr>
      <vt:lpstr>162</vt:lpstr>
      <vt:lpstr>161</vt:lpstr>
      <vt:lpstr>160</vt:lpstr>
      <vt:lpstr>159</vt:lpstr>
      <vt:lpstr>158</vt:lpstr>
      <vt:lpstr>157</vt:lpstr>
      <vt:lpstr>156</vt:lpstr>
      <vt:lpstr>155</vt:lpstr>
      <vt:lpstr>154</vt:lpstr>
      <vt:lpstr>153</vt:lpstr>
      <vt:lpstr>152</vt:lpstr>
      <vt:lpstr>151</vt:lpstr>
      <vt:lpstr>150</vt:lpstr>
      <vt:lpstr>149</vt:lpstr>
      <vt:lpstr>148</vt:lpstr>
      <vt:lpstr>147</vt:lpstr>
      <vt:lpstr>146</vt:lpstr>
      <vt:lpstr>145</vt:lpstr>
      <vt:lpstr>144</vt:lpstr>
      <vt:lpstr>143</vt:lpstr>
      <vt:lpstr>142</vt:lpstr>
      <vt:lpstr>141</vt:lpstr>
      <vt:lpstr>140</vt:lpstr>
      <vt:lpstr>139</vt:lpstr>
      <vt:lpstr>138</vt:lpstr>
      <vt:lpstr>137</vt:lpstr>
      <vt:lpstr>136</vt:lpstr>
      <vt:lpstr>135</vt:lpstr>
      <vt:lpstr>134</vt:lpstr>
      <vt:lpstr>133</vt:lpstr>
      <vt:lpstr>132</vt:lpstr>
      <vt:lpstr>131</vt:lpstr>
      <vt:lpstr>130</vt:lpstr>
      <vt:lpstr>129</vt:lpstr>
      <vt:lpstr>128</vt:lpstr>
      <vt:lpstr>127</vt:lpstr>
      <vt:lpstr>126</vt:lpstr>
      <vt:lpstr>125</vt:lpstr>
      <vt:lpstr>124</vt:lpstr>
      <vt:lpstr>123</vt:lpstr>
      <vt:lpstr>122</vt:lpstr>
      <vt:lpstr>121</vt:lpstr>
      <vt:lpstr>120</vt:lpstr>
      <vt:lpstr>119</vt:lpstr>
      <vt:lpstr>118</vt:lpstr>
      <vt:lpstr>117</vt:lpstr>
      <vt:lpstr>116</vt:lpstr>
      <vt:lpstr>115</vt:lpstr>
      <vt:lpstr>114</vt:lpstr>
      <vt:lpstr>113</vt:lpstr>
      <vt:lpstr>112</vt:lpstr>
      <vt:lpstr>111</vt:lpstr>
      <vt:lpstr>110</vt:lpstr>
      <vt:lpstr>106</vt:lpstr>
      <vt:lpstr>100</vt:lpstr>
      <vt:lpstr>090</vt:lpstr>
      <vt:lpstr>089</vt:lpstr>
      <vt:lpstr>088</vt:lpstr>
      <vt:lpstr>087</vt:lpstr>
      <vt:lpstr>086</vt:lpstr>
      <vt:lpstr>085</vt:lpstr>
      <vt:lpstr>084</vt:lpstr>
      <vt:lpstr>083</vt:lpstr>
      <vt:lpstr>076</vt:lpstr>
      <vt:lpstr>075</vt:lpstr>
      <vt:lpstr>074</vt:lpstr>
      <vt:lpstr>073</vt:lpstr>
      <vt:lpstr>070</vt:lpstr>
      <vt:lpstr>069</vt:lpstr>
      <vt:lpstr>059</vt:lpstr>
      <vt:lpstr>057</vt:lpstr>
      <vt:lpstr>056</vt:lpstr>
      <vt:lpstr>048</vt:lpstr>
      <vt:lpstr>047</vt:lpstr>
      <vt:lpstr>046</vt:lpstr>
      <vt:lpstr>045</vt:lpstr>
      <vt:lpstr>044</vt:lpstr>
      <vt:lpstr>043</vt:lpstr>
      <vt:lpstr>042</vt:lpstr>
      <vt:lpstr>041</vt:lpstr>
      <vt:lpstr>040</vt:lpstr>
      <vt:lpstr>039</vt:lpstr>
      <vt:lpstr>038</vt:lpstr>
      <vt:lpstr>037</vt:lpstr>
      <vt:lpstr>036</vt:lpstr>
      <vt:lpstr>035</vt:lpstr>
      <vt:lpstr>034</vt:lpstr>
      <vt:lpstr>033</vt:lpstr>
      <vt:lpstr>032</vt:lpstr>
      <vt:lpstr>031</vt:lpstr>
      <vt:lpstr>030</vt:lpstr>
      <vt:lpstr>029</vt:lpstr>
      <vt:lpstr>028</vt:lpstr>
      <vt:lpstr>027</vt:lpstr>
      <vt:lpstr>026</vt:lpstr>
      <vt:lpstr>025</vt:lpstr>
      <vt:lpstr>024</vt:lpstr>
      <vt:lpstr>023</vt:lpstr>
      <vt:lpstr>022</vt:lpstr>
      <vt:lpstr>021</vt:lpstr>
      <vt:lpstr>020</vt:lpstr>
      <vt:lpstr>019</vt:lpstr>
      <vt:lpstr>018</vt:lpstr>
      <vt:lpstr>017</vt:lpstr>
      <vt:lpstr>016</vt:lpstr>
      <vt:lpstr>015</vt:lpstr>
      <vt:lpstr>014</vt:lpstr>
      <vt:lpstr>013</vt:lpstr>
      <vt:lpstr>012</vt:lpstr>
      <vt:lpstr>011</vt:lpstr>
      <vt:lpstr>010</vt:lpstr>
      <vt:lpstr>009</vt:lpstr>
      <vt:lpstr>008</vt:lpstr>
      <vt:lpstr>007</vt:lpstr>
      <vt:lpstr>006</vt:lpstr>
      <vt:lpstr>005</vt:lpstr>
      <vt:lpstr>004</vt:lpstr>
      <vt:lpstr>003</vt:lpstr>
      <vt:lpstr>002</vt:lpstr>
      <vt:lpstr>001</vt:lpstr>
      <vt:lpstr>'001'!Print_Area</vt:lpstr>
      <vt:lpstr>'002'!Print_Area</vt:lpstr>
      <vt:lpstr>'003'!Print_Area</vt:lpstr>
      <vt:lpstr>'004'!Print_Area</vt:lpstr>
      <vt:lpstr>'005'!Print_Area</vt:lpstr>
      <vt:lpstr>'006'!Print_Area</vt:lpstr>
      <vt:lpstr>'007'!Print_Area</vt:lpstr>
      <vt:lpstr>'008'!Print_Area</vt:lpstr>
      <vt:lpstr>'009'!Print_Area</vt:lpstr>
      <vt:lpstr>'010'!Print_Area</vt:lpstr>
      <vt:lpstr>'011'!Print_Area</vt:lpstr>
      <vt:lpstr>'012'!Print_Area</vt:lpstr>
      <vt:lpstr>'013'!Print_Area</vt:lpstr>
      <vt:lpstr>'014'!Print_Area</vt:lpstr>
      <vt:lpstr>'015'!Print_Area</vt:lpstr>
      <vt:lpstr>'016'!Print_Area</vt:lpstr>
      <vt:lpstr>'017'!Print_Area</vt:lpstr>
      <vt:lpstr>'018'!Print_Area</vt:lpstr>
      <vt:lpstr>'019'!Print_Area</vt:lpstr>
      <vt:lpstr>'020'!Print_Area</vt:lpstr>
      <vt:lpstr>'021'!Print_Area</vt:lpstr>
      <vt:lpstr>'022'!Print_Area</vt:lpstr>
      <vt:lpstr>'023'!Print_Area</vt:lpstr>
      <vt:lpstr>'024'!Print_Area</vt:lpstr>
      <vt:lpstr>'025'!Print_Area</vt:lpstr>
      <vt:lpstr>'026'!Print_Area</vt:lpstr>
      <vt:lpstr>'027'!Print_Area</vt:lpstr>
      <vt:lpstr>'028'!Print_Area</vt:lpstr>
      <vt:lpstr>'029'!Print_Area</vt:lpstr>
      <vt:lpstr>'030'!Print_Area</vt:lpstr>
      <vt:lpstr>'031'!Print_Area</vt:lpstr>
      <vt:lpstr>'032'!Print_Area</vt:lpstr>
      <vt:lpstr>'033'!Print_Area</vt:lpstr>
      <vt:lpstr>'034'!Print_Area</vt:lpstr>
      <vt:lpstr>'035'!Print_Area</vt:lpstr>
      <vt:lpstr>'036'!Print_Area</vt:lpstr>
      <vt:lpstr>'037'!Print_Area</vt:lpstr>
      <vt:lpstr>'038'!Print_Area</vt:lpstr>
      <vt:lpstr>'039'!Print_Area</vt:lpstr>
      <vt:lpstr>'040'!Print_Area</vt:lpstr>
      <vt:lpstr>'041'!Print_Area</vt:lpstr>
      <vt:lpstr>'042'!Print_Area</vt:lpstr>
      <vt:lpstr>'043'!Print_Area</vt:lpstr>
      <vt:lpstr>'044'!Print_Area</vt:lpstr>
      <vt:lpstr>'045'!Print_Area</vt:lpstr>
      <vt:lpstr>'046'!Print_Area</vt:lpstr>
      <vt:lpstr>'047'!Print_Area</vt:lpstr>
      <vt:lpstr>'048'!Print_Area</vt:lpstr>
      <vt:lpstr>'056'!Print_Area</vt:lpstr>
      <vt:lpstr>'057'!Print_Area</vt:lpstr>
      <vt:lpstr>'059'!Print_Area</vt:lpstr>
      <vt:lpstr>'069'!Print_Area</vt:lpstr>
      <vt:lpstr>'070'!Print_Area</vt:lpstr>
      <vt:lpstr>'073'!Print_Area</vt:lpstr>
      <vt:lpstr>'074'!Print_Area</vt:lpstr>
      <vt:lpstr>'075'!Print_Area</vt:lpstr>
      <vt:lpstr>'076'!Print_Area</vt:lpstr>
      <vt:lpstr>'083'!Print_Area</vt:lpstr>
      <vt:lpstr>'084'!Print_Area</vt:lpstr>
      <vt:lpstr>'085'!Print_Area</vt:lpstr>
      <vt:lpstr>'086'!Print_Area</vt:lpstr>
      <vt:lpstr>'087'!Print_Area</vt:lpstr>
      <vt:lpstr>'088'!Print_Area</vt:lpstr>
      <vt:lpstr>'089'!Print_Area</vt:lpstr>
      <vt:lpstr>'090'!Print_Area</vt:lpstr>
      <vt:lpstr>'100'!Print_Area</vt:lpstr>
      <vt:lpstr>'106'!Print_Area</vt:lpstr>
      <vt:lpstr>'110'!Print_Area</vt:lpstr>
      <vt:lpstr>'111'!Print_Area</vt:lpstr>
      <vt:lpstr>'112'!Print_Area</vt:lpstr>
      <vt:lpstr>'113'!Print_Area</vt:lpstr>
      <vt:lpstr>'114'!Print_Area</vt:lpstr>
      <vt:lpstr>'115'!Print_Area</vt:lpstr>
      <vt:lpstr>'116'!Print_Area</vt:lpstr>
      <vt:lpstr>'117'!Print_Area</vt:lpstr>
      <vt:lpstr>'118'!Print_Area</vt:lpstr>
      <vt:lpstr>'119'!Print_Area</vt:lpstr>
      <vt:lpstr>'120'!Print_Area</vt:lpstr>
      <vt:lpstr>'121'!Print_Area</vt:lpstr>
      <vt:lpstr>'122'!Print_Area</vt:lpstr>
      <vt:lpstr>'124'!Print_Area</vt:lpstr>
      <vt:lpstr>'125'!Print_Area</vt:lpstr>
      <vt:lpstr>'126'!Print_Area</vt:lpstr>
      <vt:lpstr>'127'!Print_Area</vt:lpstr>
      <vt:lpstr>'128'!Print_Area</vt:lpstr>
      <vt:lpstr>'129'!Print_Area</vt:lpstr>
      <vt:lpstr>'130'!Print_Area</vt:lpstr>
      <vt:lpstr>'131'!Print_Area</vt:lpstr>
      <vt:lpstr>'132'!Print_Area</vt:lpstr>
      <vt:lpstr>'133'!Print_Area</vt:lpstr>
      <vt:lpstr>'134'!Print_Area</vt:lpstr>
      <vt:lpstr>'135'!Print_Area</vt:lpstr>
      <vt:lpstr>'136'!Print_Area</vt:lpstr>
      <vt:lpstr>'137'!Print_Area</vt:lpstr>
      <vt:lpstr>'138'!Print_Area</vt:lpstr>
      <vt:lpstr>'139'!Print_Area</vt:lpstr>
      <vt:lpstr>'140'!Print_Area</vt:lpstr>
      <vt:lpstr>'141'!Print_Area</vt:lpstr>
      <vt:lpstr>'142'!Print_Area</vt:lpstr>
      <vt:lpstr>'143'!Print_Area</vt:lpstr>
      <vt:lpstr>'144'!Print_Area</vt:lpstr>
      <vt:lpstr>'145'!Print_Area</vt:lpstr>
      <vt:lpstr>'146'!Print_Area</vt:lpstr>
      <vt:lpstr>'147'!Print_Area</vt:lpstr>
      <vt:lpstr>'148'!Print_Area</vt:lpstr>
      <vt:lpstr>'149'!Print_Area</vt:lpstr>
      <vt:lpstr>'150'!Print_Area</vt:lpstr>
      <vt:lpstr>'151'!Print_Area</vt:lpstr>
      <vt:lpstr>'152'!Print_Area</vt:lpstr>
      <vt:lpstr>'153'!Print_Area</vt:lpstr>
      <vt:lpstr>'154'!Print_Area</vt:lpstr>
      <vt:lpstr>'155'!Print_Area</vt:lpstr>
      <vt:lpstr>'156'!Print_Area</vt:lpstr>
      <vt:lpstr>'157'!Print_Area</vt:lpstr>
      <vt:lpstr>'158'!Print_Area</vt:lpstr>
      <vt:lpstr>'159'!Print_Area</vt:lpstr>
      <vt:lpstr>'160'!Print_Area</vt:lpstr>
      <vt:lpstr>'161'!Print_Area</vt:lpstr>
      <vt:lpstr>'162'!Print_Area</vt:lpstr>
      <vt:lpstr>'163'!Print_Area</vt:lpstr>
      <vt:lpstr>'164'!Print_Area</vt:lpstr>
      <vt:lpstr>'165'!Print_Area</vt:lpstr>
      <vt:lpstr>'166'!Print_Area</vt:lpstr>
      <vt:lpstr>'167'!Print_Area</vt:lpstr>
      <vt:lpstr>'168'!Print_Area</vt:lpstr>
      <vt:lpstr>'169'!Print_Area</vt:lpstr>
      <vt:lpstr>'170'!Print_Area</vt:lpstr>
      <vt:lpstr>'171'!Print_Area</vt:lpstr>
      <vt:lpstr>'172'!Print_Area</vt:lpstr>
      <vt:lpstr>'173'!Print_Area</vt:lpstr>
      <vt:lpstr>'174'!Print_Area</vt:lpstr>
      <vt:lpstr>'175'!Print_Area</vt:lpstr>
      <vt:lpstr>'176'!Print_Area</vt:lpstr>
      <vt:lpstr>'177'!Print_Area</vt:lpstr>
      <vt:lpstr>'178'!Print_Area</vt:lpstr>
      <vt:lpstr>'179'!Print_Area</vt:lpstr>
      <vt:lpstr>'180'!Print_Area</vt:lpstr>
      <vt:lpstr>'181'!Print_Area</vt:lpstr>
      <vt:lpstr>'182'!Print_Area</vt:lpstr>
      <vt:lpstr>'183'!Print_Area</vt:lpstr>
      <vt:lpstr>'184'!Print_Area</vt:lpstr>
      <vt:lpstr>'185'!Print_Area</vt:lpstr>
      <vt:lpstr>'186'!Print_Area</vt:lpstr>
      <vt:lpstr>'187'!Print_Area</vt:lpstr>
      <vt:lpstr>'188'!Print_Area</vt:lpstr>
      <vt:lpstr>'189'!Print_Area</vt:lpstr>
      <vt:lpstr>'190'!Print_Area</vt:lpstr>
      <vt:lpstr>'191'!Print_Area</vt:lpstr>
      <vt:lpstr>'192'!Print_Area</vt:lpstr>
      <vt:lpstr>'193'!Print_Area</vt:lpstr>
      <vt:lpstr>'194'!Print_Area</vt:lpstr>
      <vt:lpstr>'195'!Print_Area</vt:lpstr>
      <vt:lpstr>'196'!Print_Area</vt:lpstr>
      <vt:lpstr>'197'!Print_Area</vt:lpstr>
      <vt:lpstr>'198'!Print_Area</vt:lpstr>
      <vt:lpstr>'199'!Print_Area</vt:lpstr>
      <vt:lpstr>'200'!Print_Area</vt:lpstr>
      <vt:lpstr>'201'!Print_Area</vt:lpstr>
      <vt:lpstr>'202'!Print_Area</vt:lpstr>
      <vt:lpstr>'203'!Print_Area</vt:lpstr>
      <vt:lpstr>'204'!Print_Area</vt:lpstr>
      <vt:lpstr>'205'!Print_Area</vt:lpstr>
      <vt:lpstr>'206'!Print_Area</vt:lpstr>
      <vt:lpstr>'207'!Print_Area</vt:lpstr>
      <vt:lpstr>'208'!Print_Area</vt:lpstr>
      <vt:lpstr>'209'!Print_Area</vt:lpstr>
      <vt:lpstr>'210'!Print_Area</vt:lpstr>
      <vt:lpstr>'211'!Print_Area</vt:lpstr>
      <vt:lpstr>'212'!Print_Area</vt:lpstr>
      <vt:lpstr>'213'!Print_Area</vt:lpstr>
      <vt:lpstr>'214'!Print_Area</vt:lpstr>
      <vt:lpstr>'215'!Print_Area</vt:lpstr>
      <vt:lpstr>'216'!Print_Area</vt:lpstr>
      <vt:lpstr>'217'!Print_Area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newington mindanao</dc:creator>
  <cp:lastModifiedBy>newington mindanao</cp:lastModifiedBy>
  <cp:lastPrinted>2024-07-06T07:27:42Z</cp:lastPrinted>
  <dcterms:created xsi:type="dcterms:W3CDTF">2024-01-10T01:26:43Z</dcterms:created>
  <dcterms:modified xsi:type="dcterms:W3CDTF">2024-07-06T10:50:03Z</dcterms:modified>
</cp:coreProperties>
</file>